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firstSheet="3" activeTab="3"/>
  </bookViews>
  <sheets>
    <sheet name="PLG.DESA" sheetId="7" state="hidden" r:id="rId1"/>
    <sheet name="RINCIAN" sheetId="1" state="hidden" r:id="rId2"/>
    <sheet name="RINCIAN REV" sheetId="10" state="hidden" r:id="rId3"/>
    <sheet name="Cakupan Air Bersih" sheetId="4" r:id="rId4"/>
    <sheet name="APLIKASI" sheetId="5" state="hidden" r:id="rId5"/>
  </sheets>
  <externalReferences>
    <externalReference r:id="rId6"/>
  </externalReferences>
  <definedNames>
    <definedName name="_xlnm._FilterDatabase" localSheetId="1" hidden="1">RINCIAN!$A$3:$Y$152</definedName>
    <definedName name="_xlnm._FilterDatabase" localSheetId="2" hidden="1">'RINCIAN REV'!$A$3:$AA$152</definedName>
    <definedName name="_xlnm.Print_Area" localSheetId="0">PLG.DESA!$A$1:$D$77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"/>
  <c r="D9"/>
  <c r="D10" s="1"/>
  <c r="D8"/>
  <c r="C8"/>
  <c r="C9" s="1"/>
  <c r="C2"/>
  <c r="D2"/>
  <c r="D3"/>
  <c r="D5"/>
  <c r="F8" l="1"/>
  <c r="E9"/>
  <c r="C10"/>
  <c r="F9"/>
  <c r="F10"/>
  <c r="E8"/>
  <c r="G152" i="10"/>
  <c r="T151"/>
  <c r="G151"/>
  <c r="N124"/>
  <c r="G117"/>
  <c r="G111"/>
  <c r="G17"/>
  <c r="G17" i="1"/>
  <c r="E74" i="7"/>
  <c r="E72"/>
  <c r="E76" s="1"/>
  <c r="E70"/>
  <c r="E57"/>
  <c r="E51"/>
  <c r="E47"/>
  <c r="E42"/>
  <c r="E31"/>
  <c r="E34" s="1"/>
  <c r="E20"/>
  <c r="E23" s="1"/>
  <c r="E18"/>
  <c r="C11" i="5" l="1"/>
  <c r="E10"/>
  <c r="E77" i="7"/>
  <c r="E11" i="5" l="1"/>
  <c r="F11"/>
  <c r="O120" i="10" l="1"/>
  <c r="O113"/>
  <c r="O112"/>
  <c r="C13" i="4"/>
  <c r="C12"/>
  <c r="C11"/>
  <c r="C10"/>
  <c r="C9"/>
  <c r="C8"/>
  <c r="C7"/>
  <c r="C6"/>
  <c r="C5"/>
  <c r="O143" i="10" l="1"/>
  <c r="O145"/>
  <c r="O142"/>
  <c r="O135"/>
  <c r="O130"/>
  <c r="O126"/>
  <c r="O124"/>
  <c r="O123"/>
  <c r="O118"/>
  <c r="O116"/>
  <c r="O114"/>
  <c r="O106"/>
  <c r="O105"/>
  <c r="O104"/>
  <c r="O103"/>
  <c r="O72"/>
  <c r="O63"/>
  <c r="O62"/>
  <c r="O60"/>
  <c r="O57"/>
  <c r="O55"/>
  <c r="O54"/>
  <c r="O51"/>
  <c r="O48"/>
  <c r="O43"/>
  <c r="O40"/>
  <c r="O38"/>
  <c r="O24"/>
  <c r="O15"/>
  <c r="O11"/>
  <c r="N8" i="1"/>
  <c r="N6"/>
  <c r="N5"/>
  <c r="L69" i="10" l="1"/>
  <c r="S69" s="1"/>
  <c r="T69" s="1"/>
  <c r="L45"/>
  <c r="K45"/>
  <c r="K70"/>
  <c r="S70" s="1"/>
  <c r="T70" s="1"/>
  <c r="D13" i="4"/>
  <c r="D12"/>
  <c r="D11"/>
  <c r="D10"/>
  <c r="D9"/>
  <c r="D8"/>
  <c r="D7"/>
  <c r="D6"/>
  <c r="D5"/>
  <c r="D4"/>
  <c r="C4"/>
  <c r="Y117" i="10"/>
  <c r="Y111"/>
  <c r="H148"/>
  <c r="F148"/>
  <c r="E148"/>
  <c r="Y147"/>
  <c r="S147"/>
  <c r="T147" s="1"/>
  <c r="I147"/>
  <c r="Y146"/>
  <c r="S146"/>
  <c r="I146"/>
  <c r="Y145"/>
  <c r="S145"/>
  <c r="I145"/>
  <c r="Y144"/>
  <c r="S144"/>
  <c r="T144" s="1"/>
  <c r="I144"/>
  <c r="Y143"/>
  <c r="S143"/>
  <c r="I143"/>
  <c r="J143" s="1"/>
  <c r="Y142"/>
  <c r="S142"/>
  <c r="T142" s="1"/>
  <c r="I142"/>
  <c r="Y141"/>
  <c r="S141"/>
  <c r="I141"/>
  <c r="Y140"/>
  <c r="S140"/>
  <c r="I140"/>
  <c r="J140" s="1"/>
  <c r="Y139"/>
  <c r="S139"/>
  <c r="T139" s="1"/>
  <c r="I139"/>
  <c r="Y138"/>
  <c r="S138"/>
  <c r="I138"/>
  <c r="Y137"/>
  <c r="S137"/>
  <c r="I137"/>
  <c r="Y136"/>
  <c r="S136"/>
  <c r="I136"/>
  <c r="Y135"/>
  <c r="S135"/>
  <c r="I135"/>
  <c r="J135" s="1"/>
  <c r="Y134"/>
  <c r="S134"/>
  <c r="T134" s="1"/>
  <c r="I134"/>
  <c r="Y133"/>
  <c r="S133"/>
  <c r="I133"/>
  <c r="Y132"/>
  <c r="S132"/>
  <c r="I132"/>
  <c r="J132" s="1"/>
  <c r="Y131"/>
  <c r="S131"/>
  <c r="T131" s="1"/>
  <c r="I131"/>
  <c r="Y130"/>
  <c r="S130"/>
  <c r="I130"/>
  <c r="Y129"/>
  <c r="S129"/>
  <c r="I129"/>
  <c r="Y128"/>
  <c r="S128"/>
  <c r="I128"/>
  <c r="Y127"/>
  <c r="S127"/>
  <c r="I127"/>
  <c r="Y126"/>
  <c r="S126"/>
  <c r="T126" s="1"/>
  <c r="I126"/>
  <c r="Y125"/>
  <c r="O125"/>
  <c r="S125" s="1"/>
  <c r="I125"/>
  <c r="J125" s="1"/>
  <c r="Y124"/>
  <c r="S124"/>
  <c r="T124" s="1"/>
  <c r="I124"/>
  <c r="Y123"/>
  <c r="S123"/>
  <c r="I123"/>
  <c r="Y122"/>
  <c r="S122"/>
  <c r="I122"/>
  <c r="Y121"/>
  <c r="S121"/>
  <c r="I121"/>
  <c r="Y120"/>
  <c r="S120"/>
  <c r="I120"/>
  <c r="J120" s="1"/>
  <c r="Y119"/>
  <c r="S119"/>
  <c r="T119" s="1"/>
  <c r="I119"/>
  <c r="AD118"/>
  <c r="AC111" s="1"/>
  <c r="AD111" s="1"/>
  <c r="Y118"/>
  <c r="S118"/>
  <c r="T118" s="1"/>
  <c r="I118"/>
  <c r="S117"/>
  <c r="T117" s="1"/>
  <c r="I117"/>
  <c r="Y116"/>
  <c r="S116"/>
  <c r="I116"/>
  <c r="Y115"/>
  <c r="S115"/>
  <c r="I115"/>
  <c r="Y114"/>
  <c r="S114"/>
  <c r="I114"/>
  <c r="Y113"/>
  <c r="S113"/>
  <c r="I113"/>
  <c r="J113" s="1"/>
  <c r="Y112"/>
  <c r="S112"/>
  <c r="T112" s="1"/>
  <c r="I112"/>
  <c r="S111"/>
  <c r="T111" s="1"/>
  <c r="Y110"/>
  <c r="S110"/>
  <c r="I110"/>
  <c r="Y109"/>
  <c r="S109"/>
  <c r="I109"/>
  <c r="Y108"/>
  <c r="S108"/>
  <c r="I108"/>
  <c r="Y107"/>
  <c r="S107"/>
  <c r="T107" s="1"/>
  <c r="I107"/>
  <c r="Y106"/>
  <c r="S106"/>
  <c r="T106" s="1"/>
  <c r="I106"/>
  <c r="Y105"/>
  <c r="S105"/>
  <c r="I105"/>
  <c r="Y104"/>
  <c r="S104"/>
  <c r="I104"/>
  <c r="Y103"/>
  <c r="S103"/>
  <c r="T103" s="1"/>
  <c r="I103"/>
  <c r="Y102"/>
  <c r="S102"/>
  <c r="I102"/>
  <c r="Y101"/>
  <c r="S101"/>
  <c r="I101"/>
  <c r="Y100"/>
  <c r="S100"/>
  <c r="I100"/>
  <c r="Y99"/>
  <c r="S99"/>
  <c r="I99"/>
  <c r="Y98"/>
  <c r="S98"/>
  <c r="T98" s="1"/>
  <c r="I98"/>
  <c r="Y97"/>
  <c r="S97"/>
  <c r="I97"/>
  <c r="Y96"/>
  <c r="S96"/>
  <c r="I96"/>
  <c r="Y95"/>
  <c r="S95"/>
  <c r="T95" s="1"/>
  <c r="I95"/>
  <c r="Y94"/>
  <c r="S94"/>
  <c r="I94"/>
  <c r="Y93"/>
  <c r="S93"/>
  <c r="I93"/>
  <c r="Y92"/>
  <c r="S92"/>
  <c r="I92"/>
  <c r="Y91"/>
  <c r="S91"/>
  <c r="I91"/>
  <c r="J91" s="1"/>
  <c r="Y90"/>
  <c r="S90"/>
  <c r="T90" s="1"/>
  <c r="I90"/>
  <c r="Y89"/>
  <c r="S89"/>
  <c r="I89"/>
  <c r="Y88"/>
  <c r="S88"/>
  <c r="I88"/>
  <c r="Y87"/>
  <c r="S87"/>
  <c r="T87" s="1"/>
  <c r="I87"/>
  <c r="Y86"/>
  <c r="S86"/>
  <c r="I86"/>
  <c r="Y85"/>
  <c r="S85"/>
  <c r="I85"/>
  <c r="Y84"/>
  <c r="S84"/>
  <c r="I84"/>
  <c r="Y83"/>
  <c r="S83"/>
  <c r="I83"/>
  <c r="J83" s="1"/>
  <c r="Y82"/>
  <c r="S82"/>
  <c r="T82" s="1"/>
  <c r="I82"/>
  <c r="Y81"/>
  <c r="S81"/>
  <c r="T81" s="1"/>
  <c r="I81"/>
  <c r="Y80"/>
  <c r="S80"/>
  <c r="I80"/>
  <c r="Y79"/>
  <c r="S79"/>
  <c r="T79" s="1"/>
  <c r="I79"/>
  <c r="Y78"/>
  <c r="S78"/>
  <c r="I78"/>
  <c r="Y77"/>
  <c r="S77"/>
  <c r="I77"/>
  <c r="Y76"/>
  <c r="S76"/>
  <c r="I76"/>
  <c r="Y75"/>
  <c r="S75"/>
  <c r="I75"/>
  <c r="Y74"/>
  <c r="S74"/>
  <c r="T74" s="1"/>
  <c r="I74"/>
  <c r="Y73"/>
  <c r="S73"/>
  <c r="I73"/>
  <c r="Y72"/>
  <c r="S72"/>
  <c r="T72" s="1"/>
  <c r="I72"/>
  <c r="Y71"/>
  <c r="S71"/>
  <c r="T71" s="1"/>
  <c r="I71"/>
  <c r="Y70"/>
  <c r="I70"/>
  <c r="Y69"/>
  <c r="I69"/>
  <c r="Y68"/>
  <c r="S68"/>
  <c r="I68"/>
  <c r="Y67"/>
  <c r="S67"/>
  <c r="I67"/>
  <c r="J67" s="1"/>
  <c r="Y66"/>
  <c r="S66"/>
  <c r="T66" s="1"/>
  <c r="I66"/>
  <c r="Y65"/>
  <c r="S65"/>
  <c r="I65"/>
  <c r="Y64"/>
  <c r="S64"/>
  <c r="T64" s="1"/>
  <c r="I64"/>
  <c r="Y63"/>
  <c r="S63"/>
  <c r="T63" s="1"/>
  <c r="I63"/>
  <c r="Y62"/>
  <c r="S62"/>
  <c r="T62" s="1"/>
  <c r="I62"/>
  <c r="Y61"/>
  <c r="S61"/>
  <c r="T61" s="1"/>
  <c r="I61"/>
  <c r="Y60"/>
  <c r="S60"/>
  <c r="I60"/>
  <c r="Y59"/>
  <c r="S59"/>
  <c r="I59"/>
  <c r="Y58"/>
  <c r="S58"/>
  <c r="T58" s="1"/>
  <c r="I58"/>
  <c r="Y57"/>
  <c r="S57"/>
  <c r="I57"/>
  <c r="Y56"/>
  <c r="S56"/>
  <c r="T56" s="1"/>
  <c r="I56"/>
  <c r="Y55"/>
  <c r="S55"/>
  <c r="T55" s="1"/>
  <c r="I55"/>
  <c r="Y54"/>
  <c r="S54"/>
  <c r="T54" s="1"/>
  <c r="I54"/>
  <c r="Y53"/>
  <c r="S53"/>
  <c r="T53" s="1"/>
  <c r="I53"/>
  <c r="Y52"/>
  <c r="S52"/>
  <c r="I52"/>
  <c r="Y51"/>
  <c r="S51"/>
  <c r="I51"/>
  <c r="Y50"/>
  <c r="S50"/>
  <c r="T50" s="1"/>
  <c r="I50"/>
  <c r="Y49"/>
  <c r="S49"/>
  <c r="T49" s="1"/>
  <c r="I49"/>
  <c r="Y48"/>
  <c r="S48"/>
  <c r="T48" s="1"/>
  <c r="I48"/>
  <c r="Y47"/>
  <c r="S47"/>
  <c r="I47"/>
  <c r="Y46"/>
  <c r="S46"/>
  <c r="I46"/>
  <c r="Y45"/>
  <c r="I45"/>
  <c r="Y44"/>
  <c r="S44"/>
  <c r="I44"/>
  <c r="Y43"/>
  <c r="S43"/>
  <c r="T43" s="1"/>
  <c r="I43"/>
  <c r="Y42"/>
  <c r="S42"/>
  <c r="T42" s="1"/>
  <c r="I42"/>
  <c r="Y41"/>
  <c r="S41"/>
  <c r="I41"/>
  <c r="Y40"/>
  <c r="S40"/>
  <c r="T40" s="1"/>
  <c r="I40"/>
  <c r="Y39"/>
  <c r="S39"/>
  <c r="T39" s="1"/>
  <c r="I39"/>
  <c r="Y38"/>
  <c r="S38"/>
  <c r="T38" s="1"/>
  <c r="I38"/>
  <c r="Y37"/>
  <c r="S37"/>
  <c r="I37"/>
  <c r="Y36"/>
  <c r="S36"/>
  <c r="I36"/>
  <c r="S35"/>
  <c r="T35" s="1"/>
  <c r="I35"/>
  <c r="S34"/>
  <c r="I34"/>
  <c r="S33"/>
  <c r="T33" s="1"/>
  <c r="I33"/>
  <c r="S32"/>
  <c r="I32"/>
  <c r="J32" s="1"/>
  <c r="S31"/>
  <c r="T31" s="1"/>
  <c r="I31"/>
  <c r="S30"/>
  <c r="I30"/>
  <c r="S29"/>
  <c r="I29"/>
  <c r="S28"/>
  <c r="T28" s="1"/>
  <c r="I28"/>
  <c r="S27"/>
  <c r="I27"/>
  <c r="S26"/>
  <c r="I26"/>
  <c r="J26" s="1"/>
  <c r="Y25"/>
  <c r="S25"/>
  <c r="I25"/>
  <c r="Y24"/>
  <c r="S24"/>
  <c r="T24" s="1"/>
  <c r="I24"/>
  <c r="Y23"/>
  <c r="S23"/>
  <c r="T23" s="1"/>
  <c r="I23"/>
  <c r="Y22"/>
  <c r="S22"/>
  <c r="T22" s="1"/>
  <c r="I22"/>
  <c r="Y21"/>
  <c r="S21"/>
  <c r="I21"/>
  <c r="Y20"/>
  <c r="S20"/>
  <c r="T20" s="1"/>
  <c r="I20"/>
  <c r="Y19"/>
  <c r="S19"/>
  <c r="T19" s="1"/>
  <c r="I19"/>
  <c r="Y18"/>
  <c r="S18"/>
  <c r="T18" s="1"/>
  <c r="I18"/>
  <c r="Y17"/>
  <c r="S17"/>
  <c r="G148"/>
  <c r="G150" s="1"/>
  <c r="Y16"/>
  <c r="S16"/>
  <c r="T16" s="1"/>
  <c r="I16"/>
  <c r="Y15"/>
  <c r="S15"/>
  <c r="T15" s="1"/>
  <c r="I15"/>
  <c r="Y14"/>
  <c r="S14"/>
  <c r="I14"/>
  <c r="Y13"/>
  <c r="S13"/>
  <c r="I13"/>
  <c r="J13" s="1"/>
  <c r="Y12"/>
  <c r="S12"/>
  <c r="T12" s="1"/>
  <c r="I12"/>
  <c r="Y11"/>
  <c r="S11"/>
  <c r="T11" s="1"/>
  <c r="I11"/>
  <c r="Y10"/>
  <c r="S10"/>
  <c r="I10"/>
  <c r="J10" s="1"/>
  <c r="Y9"/>
  <c r="S9"/>
  <c r="T9" s="1"/>
  <c r="I9"/>
  <c r="Y8"/>
  <c r="S8"/>
  <c r="T8" s="1"/>
  <c r="I8"/>
  <c r="Y7"/>
  <c r="S7"/>
  <c r="T7" s="1"/>
  <c r="I7"/>
  <c r="Y6"/>
  <c r="S6"/>
  <c r="I6"/>
  <c r="Y5"/>
  <c r="S5"/>
  <c r="T5" s="1"/>
  <c r="I5"/>
  <c r="Y4"/>
  <c r="S4"/>
  <c r="I4"/>
  <c r="AA133" l="1"/>
  <c r="T133"/>
  <c r="AA60"/>
  <c r="T60"/>
  <c r="AA136"/>
  <c r="T136"/>
  <c r="AA47"/>
  <c r="T47"/>
  <c r="AA77"/>
  <c r="T77"/>
  <c r="AA17"/>
  <c r="T17"/>
  <c r="AA25"/>
  <c r="T25"/>
  <c r="AA80"/>
  <c r="T80"/>
  <c r="AA88"/>
  <c r="T88"/>
  <c r="AA96"/>
  <c r="T96"/>
  <c r="AA104"/>
  <c r="T104"/>
  <c r="AA41"/>
  <c r="T41"/>
  <c r="AA52"/>
  <c r="T52"/>
  <c r="AA68"/>
  <c r="T68"/>
  <c r="AA32"/>
  <c r="T32"/>
  <c r="AA115"/>
  <c r="T115"/>
  <c r="AA83"/>
  <c r="T83"/>
  <c r="AA91"/>
  <c r="T91"/>
  <c r="AA99"/>
  <c r="T99"/>
  <c r="AA129"/>
  <c r="T129"/>
  <c r="AA37"/>
  <c r="T37"/>
  <c r="AA78"/>
  <c r="T78"/>
  <c r="AA86"/>
  <c r="T86"/>
  <c r="AA94"/>
  <c r="T94"/>
  <c r="AA102"/>
  <c r="T102"/>
  <c r="AA110"/>
  <c r="T110"/>
  <c r="AA116"/>
  <c r="T116"/>
  <c r="AA132"/>
  <c r="T132"/>
  <c r="AA140"/>
  <c r="T140"/>
  <c r="AA57"/>
  <c r="T57"/>
  <c r="AA120"/>
  <c r="T120"/>
  <c r="AA128"/>
  <c r="T128"/>
  <c r="AA6"/>
  <c r="T6"/>
  <c r="AA101"/>
  <c r="T101"/>
  <c r="AA109"/>
  <c r="T109"/>
  <c r="AA123"/>
  <c r="T123"/>
  <c r="AA4"/>
  <c r="T4"/>
  <c r="AA29"/>
  <c r="T29"/>
  <c r="AA75"/>
  <c r="T75"/>
  <c r="AA113"/>
  <c r="T113"/>
  <c r="AA121"/>
  <c r="T121"/>
  <c r="AA137"/>
  <c r="T137"/>
  <c r="AA10"/>
  <c r="T10"/>
  <c r="AA26"/>
  <c r="T26"/>
  <c r="AA30"/>
  <c r="T30"/>
  <c r="AA34"/>
  <c r="T34"/>
  <c r="AA51"/>
  <c r="T51"/>
  <c r="AA59"/>
  <c r="T59"/>
  <c r="AA67"/>
  <c r="T67"/>
  <c r="AA73"/>
  <c r="T73"/>
  <c r="AA89"/>
  <c r="T89"/>
  <c r="AA97"/>
  <c r="T97"/>
  <c r="AA105"/>
  <c r="T105"/>
  <c r="AA127"/>
  <c r="T127"/>
  <c r="AA135"/>
  <c r="T135"/>
  <c r="AA143"/>
  <c r="T143"/>
  <c r="AA27"/>
  <c r="T27"/>
  <c r="AA65"/>
  <c r="T65"/>
  <c r="AA125"/>
  <c r="T125"/>
  <c r="AA141"/>
  <c r="T141"/>
  <c r="AA14"/>
  <c r="T14"/>
  <c r="AA36"/>
  <c r="T36"/>
  <c r="AA44"/>
  <c r="T44"/>
  <c r="AA85"/>
  <c r="T85"/>
  <c r="AA93"/>
  <c r="T93"/>
  <c r="AA145"/>
  <c r="T145"/>
  <c r="AA13"/>
  <c r="T13"/>
  <c r="AA21"/>
  <c r="T21"/>
  <c r="AA46"/>
  <c r="T46"/>
  <c r="AA76"/>
  <c r="T76"/>
  <c r="AA84"/>
  <c r="T84"/>
  <c r="AA92"/>
  <c r="T92"/>
  <c r="AA100"/>
  <c r="T100"/>
  <c r="AA108"/>
  <c r="T108"/>
  <c r="AA114"/>
  <c r="T114"/>
  <c r="AA122"/>
  <c r="T122"/>
  <c r="AA130"/>
  <c r="T130"/>
  <c r="AA138"/>
  <c r="T138"/>
  <c r="AA146"/>
  <c r="T146"/>
  <c r="Z19"/>
  <c r="J19"/>
  <c r="Z11"/>
  <c r="J11"/>
  <c r="Z41"/>
  <c r="J41"/>
  <c r="Z52"/>
  <c r="J52"/>
  <c r="Z60"/>
  <c r="J60"/>
  <c r="Z68"/>
  <c r="J68"/>
  <c r="Z74"/>
  <c r="J74"/>
  <c r="Z82"/>
  <c r="J82"/>
  <c r="Z90"/>
  <c r="J90"/>
  <c r="Z98"/>
  <c r="J98"/>
  <c r="Z106"/>
  <c r="J106"/>
  <c r="Z112"/>
  <c r="J112"/>
  <c r="Z128"/>
  <c r="J128"/>
  <c r="Z136"/>
  <c r="J136"/>
  <c r="Z144"/>
  <c r="J144"/>
  <c r="Z6"/>
  <c r="J6"/>
  <c r="Z14"/>
  <c r="J14"/>
  <c r="Z22"/>
  <c r="J22"/>
  <c r="Z28"/>
  <c r="J28"/>
  <c r="U36"/>
  <c r="V36" s="1"/>
  <c r="X36" s="1"/>
  <c r="J36"/>
  <c r="Z44"/>
  <c r="J44"/>
  <c r="Z47"/>
  <c r="J47"/>
  <c r="Z55"/>
  <c r="J55"/>
  <c r="Z63"/>
  <c r="J63"/>
  <c r="Z77"/>
  <c r="J77"/>
  <c r="Z85"/>
  <c r="J85"/>
  <c r="Z93"/>
  <c r="J93"/>
  <c r="Z101"/>
  <c r="J101"/>
  <c r="Z109"/>
  <c r="J109"/>
  <c r="Z115"/>
  <c r="J115"/>
  <c r="Z118"/>
  <c r="J118"/>
  <c r="Z123"/>
  <c r="J123"/>
  <c r="Z131"/>
  <c r="J131"/>
  <c r="Z139"/>
  <c r="J139"/>
  <c r="Z147"/>
  <c r="J147"/>
  <c r="Z9"/>
  <c r="J9"/>
  <c r="U25"/>
  <c r="W25" s="1"/>
  <c r="J25"/>
  <c r="Z39"/>
  <c r="J39"/>
  <c r="Z50"/>
  <c r="J50"/>
  <c r="Z58"/>
  <c r="J58"/>
  <c r="Z66"/>
  <c r="J66"/>
  <c r="Z72"/>
  <c r="J72"/>
  <c r="Z80"/>
  <c r="J80"/>
  <c r="Z88"/>
  <c r="J88"/>
  <c r="Z96"/>
  <c r="J96"/>
  <c r="Z104"/>
  <c r="J104"/>
  <c r="Z126"/>
  <c r="J126"/>
  <c r="Z134"/>
  <c r="J134"/>
  <c r="Z142"/>
  <c r="J142"/>
  <c r="Z4"/>
  <c r="J4"/>
  <c r="Z12"/>
  <c r="J12"/>
  <c r="Z20"/>
  <c r="J20"/>
  <c r="Z29"/>
  <c r="J29"/>
  <c r="Z33"/>
  <c r="J33"/>
  <c r="Z42"/>
  <c r="J42"/>
  <c r="Z53"/>
  <c r="J53"/>
  <c r="Z61"/>
  <c r="J61"/>
  <c r="Z69"/>
  <c r="J69"/>
  <c r="Z75"/>
  <c r="J75"/>
  <c r="Z99"/>
  <c r="J99"/>
  <c r="Z107"/>
  <c r="J107"/>
  <c r="Z121"/>
  <c r="J121"/>
  <c r="Z129"/>
  <c r="J129"/>
  <c r="Z137"/>
  <c r="J137"/>
  <c r="Z145"/>
  <c r="J145"/>
  <c r="Z7"/>
  <c r="J7"/>
  <c r="Z15"/>
  <c r="J15"/>
  <c r="Z23"/>
  <c r="J23"/>
  <c r="Z37"/>
  <c r="J37"/>
  <c r="Z45"/>
  <c r="J45"/>
  <c r="Z48"/>
  <c r="J48"/>
  <c r="Z56"/>
  <c r="J56"/>
  <c r="Z64"/>
  <c r="J64"/>
  <c r="Z78"/>
  <c r="J78"/>
  <c r="Z86"/>
  <c r="J86"/>
  <c r="Z94"/>
  <c r="J94"/>
  <c r="Z102"/>
  <c r="J102"/>
  <c r="Z110"/>
  <c r="J110"/>
  <c r="Z116"/>
  <c r="J116"/>
  <c r="Z124"/>
  <c r="J124"/>
  <c r="Z18"/>
  <c r="J18"/>
  <c r="Z30"/>
  <c r="J30"/>
  <c r="Z34"/>
  <c r="J34"/>
  <c r="Z40"/>
  <c r="J40"/>
  <c r="Z51"/>
  <c r="J51"/>
  <c r="Z59"/>
  <c r="J59"/>
  <c r="Z70"/>
  <c r="J70"/>
  <c r="Z73"/>
  <c r="J73"/>
  <c r="Z81"/>
  <c r="J81"/>
  <c r="Z89"/>
  <c r="J89"/>
  <c r="Z97"/>
  <c r="J97"/>
  <c r="Z105"/>
  <c r="J105"/>
  <c r="Z119"/>
  <c r="J119"/>
  <c r="Z127"/>
  <c r="J127"/>
  <c r="Z5"/>
  <c r="J5"/>
  <c r="Z21"/>
  <c r="J21"/>
  <c r="Z43"/>
  <c r="J43"/>
  <c r="Z46"/>
  <c r="J46"/>
  <c r="Z54"/>
  <c r="J54"/>
  <c r="Z62"/>
  <c r="J62"/>
  <c r="Z76"/>
  <c r="J76"/>
  <c r="Z84"/>
  <c r="J84"/>
  <c r="Z92"/>
  <c r="J92"/>
  <c r="Z100"/>
  <c r="J100"/>
  <c r="Z108"/>
  <c r="J108"/>
  <c r="Z114"/>
  <c r="J114"/>
  <c r="Z122"/>
  <c r="J122"/>
  <c r="Z130"/>
  <c r="J130"/>
  <c r="Z138"/>
  <c r="J138"/>
  <c r="Z146"/>
  <c r="J146"/>
  <c r="Z8"/>
  <c r="J8"/>
  <c r="Z16"/>
  <c r="J16"/>
  <c r="Z24"/>
  <c r="J24"/>
  <c r="Z27"/>
  <c r="J27"/>
  <c r="Z31"/>
  <c r="J31"/>
  <c r="Z35"/>
  <c r="J35"/>
  <c r="Z38"/>
  <c r="J38"/>
  <c r="Z49"/>
  <c r="J49"/>
  <c r="Z57"/>
  <c r="J57"/>
  <c r="Z65"/>
  <c r="J65"/>
  <c r="Z71"/>
  <c r="J71"/>
  <c r="Z79"/>
  <c r="J79"/>
  <c r="Z87"/>
  <c r="J87"/>
  <c r="Z95"/>
  <c r="J95"/>
  <c r="Z103"/>
  <c r="J103"/>
  <c r="Z117"/>
  <c r="J117"/>
  <c r="Z133"/>
  <c r="J133"/>
  <c r="Z141"/>
  <c r="J141"/>
  <c r="U10"/>
  <c r="W10" s="1"/>
  <c r="U13"/>
  <c r="W13" s="1"/>
  <c r="S45"/>
  <c r="U54"/>
  <c r="U49"/>
  <c r="U89"/>
  <c r="W89" s="1"/>
  <c r="U23"/>
  <c r="W23" s="1"/>
  <c r="Z13"/>
  <c r="E6" i="4"/>
  <c r="U32" i="10"/>
  <c r="V32" s="1"/>
  <c r="X32" s="1"/>
  <c r="U11"/>
  <c r="W11" s="1"/>
  <c r="U16"/>
  <c r="V16" s="1"/>
  <c r="X16" s="1"/>
  <c r="Z26"/>
  <c r="U35"/>
  <c r="W35" s="1"/>
  <c r="U62"/>
  <c r="W62" s="1"/>
  <c r="U9"/>
  <c r="W9" s="1"/>
  <c r="U33"/>
  <c r="V33" s="1"/>
  <c r="X33" s="1"/>
  <c r="AA35"/>
  <c r="U38"/>
  <c r="V38" s="1"/>
  <c r="X38" s="1"/>
  <c r="U43"/>
  <c r="U81"/>
  <c r="W81" s="1"/>
  <c r="U100"/>
  <c r="W100" s="1"/>
  <c r="U7"/>
  <c r="W7" s="1"/>
  <c r="E7" i="4"/>
  <c r="U15" i="10"/>
  <c r="W15" s="1"/>
  <c r="F5" i="4"/>
  <c r="U28" i="10"/>
  <c r="V28" s="1"/>
  <c r="X28" s="1"/>
  <c r="U31"/>
  <c r="W31" s="1"/>
  <c r="U34"/>
  <c r="W34" s="1"/>
  <c r="U39"/>
  <c r="V39" s="1"/>
  <c r="X39" s="1"/>
  <c r="U56"/>
  <c r="W56" s="1"/>
  <c r="E9" i="4"/>
  <c r="U129" i="10"/>
  <c r="W129" s="1"/>
  <c r="AA31"/>
  <c r="AA43"/>
  <c r="U61"/>
  <c r="W61" s="1"/>
  <c r="AA81"/>
  <c r="V34"/>
  <c r="X34" s="1"/>
  <c r="U108"/>
  <c r="W108" s="1"/>
  <c r="U118"/>
  <c r="W118" s="1"/>
  <c r="U137"/>
  <c r="E8" i="4"/>
  <c r="E12"/>
  <c r="U8" i="10"/>
  <c r="W8" s="1"/>
  <c r="U18"/>
  <c r="W18" s="1"/>
  <c r="U20"/>
  <c r="AA23"/>
  <c r="U27"/>
  <c r="U40"/>
  <c r="W40" s="1"/>
  <c r="AA54"/>
  <c r="U65"/>
  <c r="V65" s="1"/>
  <c r="X65" s="1"/>
  <c r="U72"/>
  <c r="W72" s="1"/>
  <c r="U76"/>
  <c r="W76" s="1"/>
  <c r="U80"/>
  <c r="W80" s="1"/>
  <c r="U93"/>
  <c r="U97"/>
  <c r="W97" s="1"/>
  <c r="U136"/>
  <c r="U144"/>
  <c r="U12"/>
  <c r="W12" s="1"/>
  <c r="U21"/>
  <c r="W21" s="1"/>
  <c r="U85"/>
  <c r="U46"/>
  <c r="W46" s="1"/>
  <c r="U146"/>
  <c r="W146" s="1"/>
  <c r="E13" i="4"/>
  <c r="U24" i="10"/>
  <c r="W24" s="1"/>
  <c r="AA33"/>
  <c r="U78"/>
  <c r="W78" s="1"/>
  <c r="U102"/>
  <c r="W102" s="1"/>
  <c r="U107"/>
  <c r="V107" s="1"/>
  <c r="X107" s="1"/>
  <c r="F13" i="4"/>
  <c r="U29" i="10"/>
  <c r="U22"/>
  <c r="W22" s="1"/>
  <c r="Z32"/>
  <c r="U64"/>
  <c r="W64" s="1"/>
  <c r="E10" i="4"/>
  <c r="Z10" i="10"/>
  <c r="U19"/>
  <c r="W19" s="1"/>
  <c r="AA20"/>
  <c r="Z36"/>
  <c r="AA107"/>
  <c r="U109"/>
  <c r="U138"/>
  <c r="E4" i="4"/>
  <c r="Z25" i="10"/>
  <c r="AA24"/>
  <c r="AA64"/>
  <c r="U77"/>
  <c r="U94"/>
  <c r="W94" s="1"/>
  <c r="U101"/>
  <c r="U125"/>
  <c r="W125" s="1"/>
  <c r="U145"/>
  <c r="U133"/>
  <c r="W133" s="1"/>
  <c r="U130"/>
  <c r="W130" s="1"/>
  <c r="F12" i="4"/>
  <c r="U128" i="10"/>
  <c r="U122"/>
  <c r="AA118"/>
  <c r="U116"/>
  <c r="U115"/>
  <c r="F11" i="4"/>
  <c r="U110" i="10"/>
  <c r="W110" s="1"/>
  <c r="U105"/>
  <c r="W105" s="1"/>
  <c r="F10" i="4"/>
  <c r="F9"/>
  <c r="U92" i="10"/>
  <c r="AA72"/>
  <c r="V72"/>
  <c r="X72" s="1"/>
  <c r="U68"/>
  <c r="AA62"/>
  <c r="U60"/>
  <c r="U57"/>
  <c r="W57" s="1"/>
  <c r="U52"/>
  <c r="V52" s="1"/>
  <c r="X52" s="1"/>
  <c r="U44"/>
  <c r="AA40"/>
  <c r="AA39"/>
  <c r="F6" i="4"/>
  <c r="U30" i="10"/>
  <c r="AA16"/>
  <c r="AA12"/>
  <c r="F4" i="4"/>
  <c r="U5" i="10"/>
  <c r="U6"/>
  <c r="V6" s="1"/>
  <c r="X6" s="1"/>
  <c r="AA5"/>
  <c r="AA8"/>
  <c r="AA70"/>
  <c r="U70"/>
  <c r="W70" s="1"/>
  <c r="AA45"/>
  <c r="U45"/>
  <c r="U69"/>
  <c r="W69" s="1"/>
  <c r="F8" i="4"/>
  <c r="U141" i="10"/>
  <c r="W141" s="1"/>
  <c r="U123"/>
  <c r="W123" s="1"/>
  <c r="U121"/>
  <c r="I111"/>
  <c r="U114"/>
  <c r="U86"/>
  <c r="U84"/>
  <c r="W84" s="1"/>
  <c r="U73"/>
  <c r="W73" s="1"/>
  <c r="AA56"/>
  <c r="AA49"/>
  <c r="AA28"/>
  <c r="U26"/>
  <c r="U14"/>
  <c r="V14" s="1"/>
  <c r="X14" s="1"/>
  <c r="AA9"/>
  <c r="V125"/>
  <c r="X125" s="1"/>
  <c r="V18"/>
  <c r="X18" s="1"/>
  <c r="W16"/>
  <c r="W86"/>
  <c r="V86"/>
  <c r="X86" s="1"/>
  <c r="U99"/>
  <c r="U126"/>
  <c r="AA126"/>
  <c r="AA139"/>
  <c r="U139"/>
  <c r="AA7"/>
  <c r="AA15"/>
  <c r="AA22"/>
  <c r="W49"/>
  <c r="V49"/>
  <c r="X49" s="1"/>
  <c r="U53"/>
  <c r="AA53"/>
  <c r="U91"/>
  <c r="Z91"/>
  <c r="AA103"/>
  <c r="U103"/>
  <c r="AA124"/>
  <c r="U124"/>
  <c r="Z125"/>
  <c r="U142"/>
  <c r="AA142"/>
  <c r="AA147"/>
  <c r="U147"/>
  <c r="U120"/>
  <c r="Z120"/>
  <c r="U88"/>
  <c r="I17"/>
  <c r="U51"/>
  <c r="AA55"/>
  <c r="U55"/>
  <c r="U58"/>
  <c r="AA58"/>
  <c r="U74"/>
  <c r="AA74"/>
  <c r="U96"/>
  <c r="AA131"/>
  <c r="U131"/>
  <c r="U135"/>
  <c r="Z135"/>
  <c r="W116"/>
  <c r="V116"/>
  <c r="X116" s="1"/>
  <c r="U48"/>
  <c r="AA11"/>
  <c r="AA18"/>
  <c r="AA38"/>
  <c r="U41"/>
  <c r="AA63"/>
  <c r="U63"/>
  <c r="U66"/>
  <c r="AA66"/>
  <c r="AA71"/>
  <c r="U71"/>
  <c r="U82"/>
  <c r="AA82"/>
  <c r="U104"/>
  <c r="U112"/>
  <c r="AA112"/>
  <c r="U143"/>
  <c r="Z143"/>
  <c r="AA19"/>
  <c r="U47"/>
  <c r="AA48"/>
  <c r="AA79"/>
  <c r="U79"/>
  <c r="U90"/>
  <c r="AA90"/>
  <c r="AA117"/>
  <c r="U117"/>
  <c r="U127"/>
  <c r="Z140"/>
  <c r="U140"/>
  <c r="U134"/>
  <c r="AA134"/>
  <c r="U42"/>
  <c r="AA42"/>
  <c r="U50"/>
  <c r="AA50"/>
  <c r="W54"/>
  <c r="V54"/>
  <c r="X54" s="1"/>
  <c r="AA87"/>
  <c r="U87"/>
  <c r="U98"/>
  <c r="AA98"/>
  <c r="U106"/>
  <c r="AA106"/>
  <c r="U113"/>
  <c r="Z113"/>
  <c r="Z132"/>
  <c r="U132"/>
  <c r="W138"/>
  <c r="V138"/>
  <c r="X138" s="1"/>
  <c r="Y148"/>
  <c r="S148"/>
  <c r="T148" s="1"/>
  <c r="U4"/>
  <c r="U37"/>
  <c r="U59"/>
  <c r="U67"/>
  <c r="Z67"/>
  <c r="U75"/>
  <c r="U83"/>
  <c r="Z83"/>
  <c r="AA95"/>
  <c r="U95"/>
  <c r="AA111"/>
  <c r="U119"/>
  <c r="AA119"/>
  <c r="AA144"/>
  <c r="AA61"/>
  <c r="AA69"/>
  <c r="H148" i="1"/>
  <c r="V102" i="10" l="1"/>
  <c r="X102" s="1"/>
  <c r="V13"/>
  <c r="X13" s="1"/>
  <c r="V10"/>
  <c r="X10" s="1"/>
  <c r="W65"/>
  <c r="V129"/>
  <c r="X129" s="1"/>
  <c r="V25"/>
  <c r="X25" s="1"/>
  <c r="V78"/>
  <c r="X78" s="1"/>
  <c r="V12"/>
  <c r="X12" s="1"/>
  <c r="W32"/>
  <c r="F7" i="4"/>
  <c r="T45" i="10"/>
  <c r="E5" i="4"/>
  <c r="J17" i="10"/>
  <c r="Z111"/>
  <c r="J111"/>
  <c r="W36"/>
  <c r="V23"/>
  <c r="X23" s="1"/>
  <c r="V9"/>
  <c r="X9" s="1"/>
  <c r="W39"/>
  <c r="V89"/>
  <c r="X89" s="1"/>
  <c r="W33"/>
  <c r="V11"/>
  <c r="X11" s="1"/>
  <c r="V118"/>
  <c r="X118" s="1"/>
  <c r="V57"/>
  <c r="X57" s="1"/>
  <c r="V22"/>
  <c r="X22" s="1"/>
  <c r="E11" i="4"/>
  <c r="V15" i="10"/>
  <c r="X15" s="1"/>
  <c r="V94"/>
  <c r="X94" s="1"/>
  <c r="V97"/>
  <c r="X97" s="1"/>
  <c r="V146"/>
  <c r="X146" s="1"/>
  <c r="V100"/>
  <c r="X100" s="1"/>
  <c r="V130"/>
  <c r="X130" s="1"/>
  <c r="V62"/>
  <c r="X62" s="1"/>
  <c r="W107"/>
  <c r="V81"/>
  <c r="X81" s="1"/>
  <c r="V70"/>
  <c r="X70" s="1"/>
  <c r="W28"/>
  <c r="V31"/>
  <c r="X31" s="1"/>
  <c r="V105"/>
  <c r="X105" s="1"/>
  <c r="V61"/>
  <c r="X61" s="1"/>
  <c r="V7"/>
  <c r="X7" s="1"/>
  <c r="V64"/>
  <c r="X64" s="1"/>
  <c r="V8"/>
  <c r="X8" s="1"/>
  <c r="W38"/>
  <c r="V35"/>
  <c r="X35" s="1"/>
  <c r="V56"/>
  <c r="X56" s="1"/>
  <c r="V43"/>
  <c r="X43" s="1"/>
  <c r="W43"/>
  <c r="V40"/>
  <c r="X40" s="1"/>
  <c r="V80"/>
  <c r="X80" s="1"/>
  <c r="V24"/>
  <c r="X24" s="1"/>
  <c r="V46"/>
  <c r="X46" s="1"/>
  <c r="V20"/>
  <c r="X20" s="1"/>
  <c r="W20"/>
  <c r="W85"/>
  <c r="V85"/>
  <c r="X85" s="1"/>
  <c r="V21"/>
  <c r="X21" s="1"/>
  <c r="V144"/>
  <c r="X144" s="1"/>
  <c r="W144"/>
  <c r="V27"/>
  <c r="X27" s="1"/>
  <c r="W27"/>
  <c r="V108"/>
  <c r="X108" s="1"/>
  <c r="W101"/>
  <c r="V101"/>
  <c r="X101" s="1"/>
  <c r="W109"/>
  <c r="V109"/>
  <c r="X109" s="1"/>
  <c r="W136"/>
  <c r="V136"/>
  <c r="X136" s="1"/>
  <c r="W137"/>
  <c r="V137"/>
  <c r="X137" s="1"/>
  <c r="V73"/>
  <c r="X73" s="1"/>
  <c r="V19"/>
  <c r="X19" s="1"/>
  <c r="V76"/>
  <c r="X76" s="1"/>
  <c r="V133"/>
  <c r="X133" s="1"/>
  <c r="W6"/>
  <c r="W52"/>
  <c r="V84"/>
  <c r="X84" s="1"/>
  <c r="W77"/>
  <c r="V77"/>
  <c r="X77" s="1"/>
  <c r="V29"/>
  <c r="X29" s="1"/>
  <c r="W29"/>
  <c r="W93"/>
  <c r="V93"/>
  <c r="X93" s="1"/>
  <c r="W145"/>
  <c r="V145"/>
  <c r="X145" s="1"/>
  <c r="W128"/>
  <c r="V128"/>
  <c r="X128" s="1"/>
  <c r="W122"/>
  <c r="V122"/>
  <c r="X122" s="1"/>
  <c r="W115"/>
  <c r="V115"/>
  <c r="X115" s="1"/>
  <c r="V110"/>
  <c r="X110" s="1"/>
  <c r="W92"/>
  <c r="V92"/>
  <c r="X92" s="1"/>
  <c r="V68"/>
  <c r="X68" s="1"/>
  <c r="W68"/>
  <c r="V60"/>
  <c r="X60" s="1"/>
  <c r="W60"/>
  <c r="V44"/>
  <c r="X44" s="1"/>
  <c r="W44"/>
  <c r="V30"/>
  <c r="X30" s="1"/>
  <c r="W30"/>
  <c r="W5"/>
  <c r="V5"/>
  <c r="X5" s="1"/>
  <c r="V45"/>
  <c r="X45" s="1"/>
  <c r="W45"/>
  <c r="V69"/>
  <c r="X69" s="1"/>
  <c r="V141"/>
  <c r="X141" s="1"/>
  <c r="V123"/>
  <c r="X123" s="1"/>
  <c r="W121"/>
  <c r="V121"/>
  <c r="X121" s="1"/>
  <c r="I148"/>
  <c r="J148" s="1"/>
  <c r="U111"/>
  <c r="V111" s="1"/>
  <c r="X111" s="1"/>
  <c r="V114"/>
  <c r="X114" s="1"/>
  <c r="W114"/>
  <c r="AA148"/>
  <c r="V26"/>
  <c r="X26" s="1"/>
  <c r="W26"/>
  <c r="W14"/>
  <c r="W134"/>
  <c r="V134"/>
  <c r="X134" s="1"/>
  <c r="V117"/>
  <c r="X117" s="1"/>
  <c r="W117"/>
  <c r="W82"/>
  <c r="V82"/>
  <c r="X82" s="1"/>
  <c r="W41"/>
  <c r="V41"/>
  <c r="X41" s="1"/>
  <c r="W48"/>
  <c r="V48"/>
  <c r="X48" s="1"/>
  <c r="V131"/>
  <c r="X131" s="1"/>
  <c r="W131"/>
  <c r="W74"/>
  <c r="V74"/>
  <c r="X74" s="1"/>
  <c r="U17"/>
  <c r="Z17"/>
  <c r="Z148" s="1"/>
  <c r="W142"/>
  <c r="V142"/>
  <c r="X142" s="1"/>
  <c r="W99"/>
  <c r="V99"/>
  <c r="X99" s="1"/>
  <c r="W59"/>
  <c r="V59"/>
  <c r="X59" s="1"/>
  <c r="W91"/>
  <c r="V91"/>
  <c r="X91" s="1"/>
  <c r="W75"/>
  <c r="V75"/>
  <c r="X75" s="1"/>
  <c r="V37"/>
  <c r="X37" s="1"/>
  <c r="W37"/>
  <c r="V71"/>
  <c r="X71" s="1"/>
  <c r="W71"/>
  <c r="V42"/>
  <c r="X42" s="1"/>
  <c r="W42"/>
  <c r="W127"/>
  <c r="V127"/>
  <c r="X127" s="1"/>
  <c r="W51"/>
  <c r="V51"/>
  <c r="X51" s="1"/>
  <c r="W98"/>
  <c r="V98"/>
  <c r="X98" s="1"/>
  <c r="V95"/>
  <c r="X95" s="1"/>
  <c r="W95"/>
  <c r="W67"/>
  <c r="V67"/>
  <c r="X67" s="1"/>
  <c r="W4"/>
  <c r="V4"/>
  <c r="W132"/>
  <c r="V132"/>
  <c r="X132" s="1"/>
  <c r="V87"/>
  <c r="X87" s="1"/>
  <c r="W87"/>
  <c r="W88"/>
  <c r="V88"/>
  <c r="X88" s="1"/>
  <c r="V124"/>
  <c r="X124" s="1"/>
  <c r="W124"/>
  <c r="W106"/>
  <c r="V106"/>
  <c r="X106" s="1"/>
  <c r="V47"/>
  <c r="X47" s="1"/>
  <c r="W47"/>
  <c r="W135"/>
  <c r="V135"/>
  <c r="X135" s="1"/>
  <c r="V50"/>
  <c r="X50" s="1"/>
  <c r="W50"/>
  <c r="W140"/>
  <c r="V140"/>
  <c r="X140" s="1"/>
  <c r="W90"/>
  <c r="V90"/>
  <c r="X90" s="1"/>
  <c r="W143"/>
  <c r="V143"/>
  <c r="X143" s="1"/>
  <c r="W112"/>
  <c r="V112"/>
  <c r="X112" s="1"/>
  <c r="W58"/>
  <c r="V58"/>
  <c r="X58" s="1"/>
  <c r="V139"/>
  <c r="X139" s="1"/>
  <c r="W139"/>
  <c r="W126"/>
  <c r="V126"/>
  <c r="X126" s="1"/>
  <c r="W119"/>
  <c r="V119"/>
  <c r="X119" s="1"/>
  <c r="V79"/>
  <c r="X79" s="1"/>
  <c r="W79"/>
  <c r="W104"/>
  <c r="V104"/>
  <c r="X104" s="1"/>
  <c r="W96"/>
  <c r="V96"/>
  <c r="X96" s="1"/>
  <c r="V55"/>
  <c r="X55" s="1"/>
  <c r="W55"/>
  <c r="W120"/>
  <c r="V120"/>
  <c r="X120" s="1"/>
  <c r="V103"/>
  <c r="X103" s="1"/>
  <c r="W103"/>
  <c r="V63"/>
  <c r="X63" s="1"/>
  <c r="W63"/>
  <c r="W83"/>
  <c r="V83"/>
  <c r="X83" s="1"/>
  <c r="W113"/>
  <c r="V113"/>
  <c r="X113" s="1"/>
  <c r="W66"/>
  <c r="V66"/>
  <c r="X66" s="1"/>
  <c r="V147"/>
  <c r="X147" s="1"/>
  <c r="W147"/>
  <c r="W53"/>
  <c r="V53"/>
  <c r="X53" s="1"/>
  <c r="W111" l="1"/>
  <c r="X4"/>
  <c r="W17"/>
  <c r="V17"/>
  <c r="X17" s="1"/>
  <c r="U148"/>
  <c r="G148" i="1"/>
  <c r="G150" s="1"/>
  <c r="D74" i="7"/>
  <c r="C74"/>
  <c r="D72"/>
  <c r="C72"/>
  <c r="C76" s="1"/>
  <c r="D70"/>
  <c r="C69"/>
  <c r="C66"/>
  <c r="C64"/>
  <c r="C63"/>
  <c r="C62"/>
  <c r="C61"/>
  <c r="C60"/>
  <c r="D57"/>
  <c r="C53"/>
  <c r="C57" s="1"/>
  <c r="D51"/>
  <c r="C51"/>
  <c r="D47"/>
  <c r="C46"/>
  <c r="C45"/>
  <c r="D44"/>
  <c r="C44"/>
  <c r="D40"/>
  <c r="C40"/>
  <c r="D37"/>
  <c r="C37"/>
  <c r="D36"/>
  <c r="C36"/>
  <c r="D34"/>
  <c r="C34"/>
  <c r="D23"/>
  <c r="C23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C70" l="1"/>
  <c r="C18"/>
  <c r="C42"/>
  <c r="D76"/>
  <c r="D42"/>
  <c r="C47"/>
  <c r="W148" i="10"/>
  <c r="I149"/>
  <c r="U149"/>
  <c r="X148"/>
  <c r="V148"/>
  <c r="V149" s="1"/>
  <c r="D18" i="7"/>
  <c r="D77" s="1"/>
  <c r="I150" i="10" l="1"/>
  <c r="C77" i="7"/>
  <c r="E148" i="1"/>
  <c r="F148"/>
  <c r="C14" i="4" l="1"/>
  <c r="D14"/>
  <c r="I102" i="1"/>
  <c r="X102" s="1"/>
  <c r="W102"/>
  <c r="R102"/>
  <c r="R90"/>
  <c r="Y90" s="1"/>
  <c r="R91"/>
  <c r="Y91" s="1"/>
  <c r="R92"/>
  <c r="Y92" s="1"/>
  <c r="I141"/>
  <c r="W141"/>
  <c r="I142"/>
  <c r="W142"/>
  <c r="I143"/>
  <c r="W143"/>
  <c r="I144"/>
  <c r="W144"/>
  <c r="I145"/>
  <c r="W145"/>
  <c r="I146"/>
  <c r="W146"/>
  <c r="I147"/>
  <c r="W147"/>
  <c r="I88"/>
  <c r="W88"/>
  <c r="I89"/>
  <c r="X89" s="1"/>
  <c r="W89"/>
  <c r="I90"/>
  <c r="X90" s="1"/>
  <c r="W90"/>
  <c r="I91"/>
  <c r="X91" s="1"/>
  <c r="W91"/>
  <c r="I92"/>
  <c r="X92" s="1"/>
  <c r="W92"/>
  <c r="I93"/>
  <c r="X93" s="1"/>
  <c r="W93"/>
  <c r="I94"/>
  <c r="X94" s="1"/>
  <c r="W94"/>
  <c r="I95"/>
  <c r="X95" s="1"/>
  <c r="W95"/>
  <c r="I96"/>
  <c r="X96" s="1"/>
  <c r="W96"/>
  <c r="I97"/>
  <c r="X97" s="1"/>
  <c r="W97"/>
  <c r="I98"/>
  <c r="X98" s="1"/>
  <c r="W98"/>
  <c r="I99"/>
  <c r="X99" s="1"/>
  <c r="W99"/>
  <c r="I100"/>
  <c r="X100" s="1"/>
  <c r="W100"/>
  <c r="I101"/>
  <c r="W101"/>
  <c r="I103"/>
  <c r="X103" s="1"/>
  <c r="W103"/>
  <c r="I104"/>
  <c r="X104" s="1"/>
  <c r="W104"/>
  <c r="I105"/>
  <c r="X105" s="1"/>
  <c r="W105"/>
  <c r="I106"/>
  <c r="X106" s="1"/>
  <c r="W106"/>
  <c r="I107"/>
  <c r="X107" s="1"/>
  <c r="W107"/>
  <c r="I108"/>
  <c r="X108" s="1"/>
  <c r="W108"/>
  <c r="I109"/>
  <c r="X109" s="1"/>
  <c r="W109"/>
  <c r="I4"/>
  <c r="X4" s="1"/>
  <c r="W4"/>
  <c r="I5"/>
  <c r="X5" s="1"/>
  <c r="W5"/>
  <c r="I6"/>
  <c r="X6" s="1"/>
  <c r="W6"/>
  <c r="I7"/>
  <c r="X7" s="1"/>
  <c r="W7"/>
  <c r="I8"/>
  <c r="X8" s="1"/>
  <c r="W8"/>
  <c r="I9"/>
  <c r="X9" s="1"/>
  <c r="W9"/>
  <c r="I10"/>
  <c r="X10" s="1"/>
  <c r="W10"/>
  <c r="I11"/>
  <c r="X11" s="1"/>
  <c r="W11"/>
  <c r="I12"/>
  <c r="X12" s="1"/>
  <c r="W12"/>
  <c r="I13"/>
  <c r="X13" s="1"/>
  <c r="W13"/>
  <c r="I14"/>
  <c r="X14" s="1"/>
  <c r="W14"/>
  <c r="I15"/>
  <c r="X15" s="1"/>
  <c r="W15"/>
  <c r="I16"/>
  <c r="W16"/>
  <c r="R18"/>
  <c r="R19"/>
  <c r="R20"/>
  <c r="R21"/>
  <c r="R22"/>
  <c r="R23"/>
  <c r="R24"/>
  <c r="R25"/>
  <c r="R17"/>
  <c r="I17"/>
  <c r="W17"/>
  <c r="I25"/>
  <c r="X25" s="1"/>
  <c r="I24"/>
  <c r="X24" s="1"/>
  <c r="I23"/>
  <c r="X23" s="1"/>
  <c r="I22"/>
  <c r="X22" s="1"/>
  <c r="I21"/>
  <c r="X21" s="1"/>
  <c r="I20"/>
  <c r="X20" s="1"/>
  <c r="I19"/>
  <c r="X19" s="1"/>
  <c r="I18"/>
  <c r="X18" s="1"/>
  <c r="W25"/>
  <c r="W24"/>
  <c r="W23"/>
  <c r="W22"/>
  <c r="W21"/>
  <c r="W20"/>
  <c r="W19"/>
  <c r="W18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I66"/>
  <c r="X66" s="1"/>
  <c r="I67"/>
  <c r="X67" s="1"/>
  <c r="I68"/>
  <c r="X68" s="1"/>
  <c r="I69"/>
  <c r="X69" s="1"/>
  <c r="I70"/>
  <c r="X70" s="1"/>
  <c r="I71"/>
  <c r="I72"/>
  <c r="X72" s="1"/>
  <c r="I73"/>
  <c r="X73" s="1"/>
  <c r="I74"/>
  <c r="X74" s="1"/>
  <c r="I75"/>
  <c r="X75" s="1"/>
  <c r="I76"/>
  <c r="X76" s="1"/>
  <c r="I77"/>
  <c r="I78"/>
  <c r="X78" s="1"/>
  <c r="I79"/>
  <c r="X79" s="1"/>
  <c r="I80"/>
  <c r="X80" s="1"/>
  <c r="I81"/>
  <c r="X81" s="1"/>
  <c r="I82"/>
  <c r="X82" s="1"/>
  <c r="I83"/>
  <c r="X83" s="1"/>
  <c r="I84"/>
  <c r="X84" s="1"/>
  <c r="I85"/>
  <c r="X85" s="1"/>
  <c r="I86"/>
  <c r="X86" s="1"/>
  <c r="I87"/>
  <c r="X87" s="1"/>
  <c r="I65"/>
  <c r="R68"/>
  <c r="R69"/>
  <c r="R70"/>
  <c r="Y70" s="1"/>
  <c r="R71"/>
  <c r="R72"/>
  <c r="R73"/>
  <c r="R74"/>
  <c r="R75"/>
  <c r="R76"/>
  <c r="R77"/>
  <c r="R78"/>
  <c r="R79"/>
  <c r="R80"/>
  <c r="W64"/>
  <c r="I64"/>
  <c r="X64" s="1"/>
  <c r="W63"/>
  <c r="I63"/>
  <c r="X63" s="1"/>
  <c r="W62"/>
  <c r="I62"/>
  <c r="X62" s="1"/>
  <c r="W61"/>
  <c r="I61"/>
  <c r="X61" s="1"/>
  <c r="W60"/>
  <c r="I60"/>
  <c r="X60" s="1"/>
  <c r="W59"/>
  <c r="I59"/>
  <c r="X59" s="1"/>
  <c r="W58"/>
  <c r="I58"/>
  <c r="X58" s="1"/>
  <c r="W57"/>
  <c r="I57"/>
  <c r="X57" s="1"/>
  <c r="W56"/>
  <c r="I56"/>
  <c r="X56" s="1"/>
  <c r="W55"/>
  <c r="I55"/>
  <c r="X55" s="1"/>
  <c r="W54"/>
  <c r="I54"/>
  <c r="X54" s="1"/>
  <c r="W53"/>
  <c r="I53"/>
  <c r="X53" s="1"/>
  <c r="W52"/>
  <c r="I52"/>
  <c r="X52" s="1"/>
  <c r="W51"/>
  <c r="I51"/>
  <c r="X51" s="1"/>
  <c r="W50"/>
  <c r="I50"/>
  <c r="X50" s="1"/>
  <c r="W49"/>
  <c r="I49"/>
  <c r="X49" s="1"/>
  <c r="W48"/>
  <c r="I48"/>
  <c r="X48" s="1"/>
  <c r="W47"/>
  <c r="I47"/>
  <c r="X47" s="1"/>
  <c r="W46"/>
  <c r="I46"/>
  <c r="X46" s="1"/>
  <c r="W45"/>
  <c r="I45"/>
  <c r="X45" s="1"/>
  <c r="W44"/>
  <c r="I44"/>
  <c r="X44" s="1"/>
  <c r="W43"/>
  <c r="I43"/>
  <c r="X43" s="1"/>
  <c r="W42"/>
  <c r="I42"/>
  <c r="X42" s="1"/>
  <c r="W41"/>
  <c r="I41"/>
  <c r="X41" s="1"/>
  <c r="W40"/>
  <c r="I40"/>
  <c r="X40" s="1"/>
  <c r="W39"/>
  <c r="I39"/>
  <c r="X65" l="1"/>
  <c r="X101"/>
  <c r="X88"/>
  <c r="Y17"/>
  <c r="H5" i="4"/>
  <c r="X39" i="1"/>
  <c r="G5" i="4"/>
  <c r="X16" i="1"/>
  <c r="C3" i="5"/>
  <c r="S102" i="1"/>
  <c r="T102" s="1"/>
  <c r="V102" s="1"/>
  <c r="Y102"/>
  <c r="S92"/>
  <c r="T92" s="1"/>
  <c r="V92" s="1"/>
  <c r="S90"/>
  <c r="T90" s="1"/>
  <c r="V90" s="1"/>
  <c r="S91"/>
  <c r="T91" s="1"/>
  <c r="V91" s="1"/>
  <c r="X146"/>
  <c r="X143"/>
  <c r="X147"/>
  <c r="X144"/>
  <c r="X142"/>
  <c r="X145"/>
  <c r="X141"/>
  <c r="S17"/>
  <c r="T17" s="1"/>
  <c r="V17" s="1"/>
  <c r="X17"/>
  <c r="Y68"/>
  <c r="Y75"/>
  <c r="Y74"/>
  <c r="Y72"/>
  <c r="Y71"/>
  <c r="X77"/>
  <c r="S69"/>
  <c r="U69" s="1"/>
  <c r="S71"/>
  <c r="T71" s="1"/>
  <c r="V71" s="1"/>
  <c r="S72"/>
  <c r="T72" s="1"/>
  <c r="V72" s="1"/>
  <c r="S73"/>
  <c r="U73" s="1"/>
  <c r="S70"/>
  <c r="T70" s="1"/>
  <c r="V70" s="1"/>
  <c r="Y69"/>
  <c r="S75"/>
  <c r="Y73"/>
  <c r="X71"/>
  <c r="S74"/>
  <c r="T74" s="1"/>
  <c r="V74" s="1"/>
  <c r="S68"/>
  <c r="U68" s="1"/>
  <c r="W38"/>
  <c r="W37"/>
  <c r="W36"/>
  <c r="I38"/>
  <c r="I37"/>
  <c r="X37" s="1"/>
  <c r="I36"/>
  <c r="X36" s="1"/>
  <c r="I35"/>
  <c r="X35" s="1"/>
  <c r="I34"/>
  <c r="X34" s="1"/>
  <c r="I33"/>
  <c r="X33" s="1"/>
  <c r="I32"/>
  <c r="X32" s="1"/>
  <c r="I31"/>
  <c r="X31" s="1"/>
  <c r="I30"/>
  <c r="X30" s="1"/>
  <c r="I29"/>
  <c r="X29" s="1"/>
  <c r="I28"/>
  <c r="X28" s="1"/>
  <c r="I27"/>
  <c r="I26"/>
  <c r="X26" s="1"/>
  <c r="R36"/>
  <c r="Y36" s="1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10"/>
  <c r="AB118"/>
  <c r="AA111" s="1"/>
  <c r="AB111" s="1"/>
  <c r="G9" i="4" l="1"/>
  <c r="I5"/>
  <c r="J5" s="1"/>
  <c r="K5"/>
  <c r="L5" s="1"/>
  <c r="N5" s="1"/>
  <c r="G10"/>
  <c r="G7"/>
  <c r="G8"/>
  <c r="G13"/>
  <c r="X38" i="1"/>
  <c r="G4" i="4"/>
  <c r="C4" i="5"/>
  <c r="W148" i="1"/>
  <c r="U90"/>
  <c r="U92"/>
  <c r="U102"/>
  <c r="U91"/>
  <c r="U17"/>
  <c r="U71"/>
  <c r="T69"/>
  <c r="V69" s="1"/>
  <c r="U72"/>
  <c r="U74"/>
  <c r="T73"/>
  <c r="V73" s="1"/>
  <c r="T68"/>
  <c r="V68" s="1"/>
  <c r="U70"/>
  <c r="T75"/>
  <c r="V75" s="1"/>
  <c r="U75"/>
  <c r="S36"/>
  <c r="X27"/>
  <c r="M5" i="4" l="1"/>
  <c r="G6"/>
  <c r="C5" i="5"/>
  <c r="T36" i="1"/>
  <c r="V36" s="1"/>
  <c r="U36"/>
  <c r="I110" l="1"/>
  <c r="I111"/>
  <c r="X111" s="1"/>
  <c r="I112"/>
  <c r="X112" s="1"/>
  <c r="I113"/>
  <c r="X113" s="1"/>
  <c r="I114"/>
  <c r="X114" s="1"/>
  <c r="I115"/>
  <c r="X115" s="1"/>
  <c r="I116"/>
  <c r="X116" s="1"/>
  <c r="I117"/>
  <c r="X117" s="1"/>
  <c r="I118"/>
  <c r="X118" s="1"/>
  <c r="I119"/>
  <c r="X119" s="1"/>
  <c r="I120"/>
  <c r="X120" s="1"/>
  <c r="I121"/>
  <c r="X121" s="1"/>
  <c r="I122"/>
  <c r="X122" s="1"/>
  <c r="I123"/>
  <c r="X123" s="1"/>
  <c r="I124"/>
  <c r="X124" s="1"/>
  <c r="X110" l="1"/>
  <c r="R117"/>
  <c r="N125"/>
  <c r="I126"/>
  <c r="X126" s="1"/>
  <c r="I127"/>
  <c r="X127" s="1"/>
  <c r="I128"/>
  <c r="X128" s="1"/>
  <c r="I129"/>
  <c r="X129" s="1"/>
  <c r="I130"/>
  <c r="X130" s="1"/>
  <c r="I131"/>
  <c r="X131" s="1"/>
  <c r="I132"/>
  <c r="X132" s="1"/>
  <c r="I133"/>
  <c r="X133" s="1"/>
  <c r="I134"/>
  <c r="X134" s="1"/>
  <c r="I135"/>
  <c r="X135" s="1"/>
  <c r="I136"/>
  <c r="X136" s="1"/>
  <c r="I137"/>
  <c r="X137" s="1"/>
  <c r="I138"/>
  <c r="X138" s="1"/>
  <c r="I139"/>
  <c r="X139" s="1"/>
  <c r="I140"/>
  <c r="X140" s="1"/>
  <c r="I125"/>
  <c r="I148" l="1"/>
  <c r="G11" i="4"/>
  <c r="X125" i="1"/>
  <c r="X148"/>
  <c r="G12" i="4" l="1"/>
  <c r="G14" s="1"/>
  <c r="E14"/>
  <c r="R146" i="1"/>
  <c r="R144"/>
  <c r="R143"/>
  <c r="R145"/>
  <c r="R142"/>
  <c r="R147"/>
  <c r="R141"/>
  <c r="R139"/>
  <c r="R134"/>
  <c r="R135"/>
  <c r="R131"/>
  <c r="R130"/>
  <c r="R127"/>
  <c r="Y127" s="1"/>
  <c r="R128"/>
  <c r="Y128" s="1"/>
  <c r="R126"/>
  <c r="R132"/>
  <c r="Y132" s="1"/>
  <c r="R136"/>
  <c r="R129"/>
  <c r="R138"/>
  <c r="Y138" s="1"/>
  <c r="R137"/>
  <c r="R140"/>
  <c r="Y140" s="1"/>
  <c r="R133"/>
  <c r="R125"/>
  <c r="R104"/>
  <c r="R107"/>
  <c r="R101"/>
  <c r="R105"/>
  <c r="R108"/>
  <c r="R103"/>
  <c r="R106"/>
  <c r="R109"/>
  <c r="R121"/>
  <c r="R124"/>
  <c r="R115"/>
  <c r="R112"/>
  <c r="R113"/>
  <c r="R122"/>
  <c r="R123"/>
  <c r="R118"/>
  <c r="R116"/>
  <c r="R120"/>
  <c r="R119"/>
  <c r="R111"/>
  <c r="R110"/>
  <c r="R114"/>
  <c r="R98"/>
  <c r="R97"/>
  <c r="R99"/>
  <c r="R95"/>
  <c r="R89"/>
  <c r="R96"/>
  <c r="R93"/>
  <c r="R100"/>
  <c r="R88"/>
  <c r="R94"/>
  <c r="R84"/>
  <c r="R66"/>
  <c r="R82"/>
  <c r="R67"/>
  <c r="R83"/>
  <c r="R81"/>
  <c r="R65"/>
  <c r="R86"/>
  <c r="R87"/>
  <c r="R85"/>
  <c r="R40"/>
  <c r="R42"/>
  <c r="R61"/>
  <c r="R39"/>
  <c r="R41"/>
  <c r="R64"/>
  <c r="R53"/>
  <c r="R60"/>
  <c r="R47"/>
  <c r="R46"/>
  <c r="R56"/>
  <c r="R54"/>
  <c r="R48"/>
  <c r="R45"/>
  <c r="R44"/>
  <c r="R49"/>
  <c r="R51"/>
  <c r="R50"/>
  <c r="R43"/>
  <c r="R63"/>
  <c r="R55"/>
  <c r="R62"/>
  <c r="R57"/>
  <c r="R59"/>
  <c r="R52"/>
  <c r="R58"/>
  <c r="R27"/>
  <c r="R30"/>
  <c r="R28"/>
  <c r="R26"/>
  <c r="R34"/>
  <c r="R29"/>
  <c r="R38"/>
  <c r="R35"/>
  <c r="R33"/>
  <c r="R37"/>
  <c r="R31"/>
  <c r="R32"/>
  <c r="R16"/>
  <c r="R9"/>
  <c r="R8"/>
  <c r="R14"/>
  <c r="R12"/>
  <c r="R7"/>
  <c r="R11"/>
  <c r="R6"/>
  <c r="R13"/>
  <c r="R4"/>
  <c r="R10"/>
  <c r="R15"/>
  <c r="R5"/>
  <c r="F3" i="5" l="1"/>
  <c r="Y125" i="1"/>
  <c r="R148"/>
  <c r="Y118"/>
  <c r="S118"/>
  <c r="Y141"/>
  <c r="S141"/>
  <c r="Y88"/>
  <c r="S88"/>
  <c r="Y98"/>
  <c r="S98"/>
  <c r="Y103"/>
  <c r="S103"/>
  <c r="Y142"/>
  <c r="S142"/>
  <c r="Y97"/>
  <c r="S97"/>
  <c r="Y143"/>
  <c r="S143"/>
  <c r="Y105"/>
  <c r="S105"/>
  <c r="Y96"/>
  <c r="S96"/>
  <c r="Y106"/>
  <c r="S106"/>
  <c r="Y145"/>
  <c r="S145"/>
  <c r="S101"/>
  <c r="Y101"/>
  <c r="Y144"/>
  <c r="S144"/>
  <c r="Y89"/>
  <c r="S89"/>
  <c r="Y107"/>
  <c r="S107"/>
  <c r="Y146"/>
  <c r="S146"/>
  <c r="Y94"/>
  <c r="S94"/>
  <c r="Y100"/>
  <c r="S100"/>
  <c r="Y93"/>
  <c r="S93"/>
  <c r="S95"/>
  <c r="Y95"/>
  <c r="S108"/>
  <c r="Y108"/>
  <c r="Y147"/>
  <c r="S147"/>
  <c r="Y104"/>
  <c r="S104"/>
  <c r="Y99"/>
  <c r="S99"/>
  <c r="Y109"/>
  <c r="S109"/>
  <c r="Y10"/>
  <c r="S10"/>
  <c r="Y4"/>
  <c r="S4"/>
  <c r="S9"/>
  <c r="Y9"/>
  <c r="S15"/>
  <c r="Y15"/>
  <c r="Y7"/>
  <c r="S7"/>
  <c r="Y16"/>
  <c r="S16"/>
  <c r="S14"/>
  <c r="Y14"/>
  <c r="Y5"/>
  <c r="S5"/>
  <c r="Y11"/>
  <c r="S11"/>
  <c r="Y13"/>
  <c r="S13"/>
  <c r="S12"/>
  <c r="Y12"/>
  <c r="S8"/>
  <c r="Y8"/>
  <c r="S6"/>
  <c r="Y6"/>
  <c r="Y25"/>
  <c r="S25"/>
  <c r="S24"/>
  <c r="Y24"/>
  <c r="S19"/>
  <c r="Y19"/>
  <c r="Y65"/>
  <c r="Y18"/>
  <c r="S18"/>
  <c r="S76"/>
  <c r="Y76"/>
  <c r="Y78"/>
  <c r="S78"/>
  <c r="S21"/>
  <c r="Y21"/>
  <c r="S80"/>
  <c r="Y80"/>
  <c r="Y22"/>
  <c r="S22"/>
  <c r="Y77"/>
  <c r="S77"/>
  <c r="Y23"/>
  <c r="S23"/>
  <c r="Y20"/>
  <c r="S20"/>
  <c r="S79"/>
  <c r="Y79"/>
  <c r="S81"/>
  <c r="Y81"/>
  <c r="S83"/>
  <c r="Y83"/>
  <c r="Y85"/>
  <c r="S85"/>
  <c r="S67"/>
  <c r="Y67"/>
  <c r="Y82"/>
  <c r="S82"/>
  <c r="Y87"/>
  <c r="S87"/>
  <c r="S66"/>
  <c r="Y66"/>
  <c r="S86"/>
  <c r="Y86"/>
  <c r="Y84"/>
  <c r="S84"/>
  <c r="S65"/>
  <c r="U65" s="1"/>
  <c r="Y42"/>
  <c r="S42"/>
  <c r="Y51"/>
  <c r="S51"/>
  <c r="Y57"/>
  <c r="S57"/>
  <c r="Y44"/>
  <c r="S44"/>
  <c r="Y53"/>
  <c r="S53"/>
  <c r="Y43"/>
  <c r="S43"/>
  <c r="Y60"/>
  <c r="S60"/>
  <c r="Y52"/>
  <c r="S52"/>
  <c r="Y59"/>
  <c r="S59"/>
  <c r="Y62"/>
  <c r="S62"/>
  <c r="Y45"/>
  <c r="S45"/>
  <c r="Y64"/>
  <c r="S64"/>
  <c r="Y56"/>
  <c r="S56"/>
  <c r="Y50"/>
  <c r="S50"/>
  <c r="Y40"/>
  <c r="S40"/>
  <c r="Y49"/>
  <c r="S49"/>
  <c r="Y55"/>
  <c r="S55"/>
  <c r="Y48"/>
  <c r="S48"/>
  <c r="Y41"/>
  <c r="S41"/>
  <c r="Y61"/>
  <c r="S61"/>
  <c r="Y46"/>
  <c r="S46"/>
  <c r="Y47"/>
  <c r="S47"/>
  <c r="Y58"/>
  <c r="S58"/>
  <c r="Y63"/>
  <c r="S63"/>
  <c r="Y54"/>
  <c r="S54"/>
  <c r="Y39"/>
  <c r="S39"/>
  <c r="Y29"/>
  <c r="S29"/>
  <c r="S34"/>
  <c r="Y34"/>
  <c r="Y32"/>
  <c r="S32"/>
  <c r="S33"/>
  <c r="Y33"/>
  <c r="S35"/>
  <c r="Y35"/>
  <c r="Y31"/>
  <c r="S31"/>
  <c r="Y27"/>
  <c r="S27"/>
  <c r="Y38"/>
  <c r="S38"/>
  <c r="Y37"/>
  <c r="S37"/>
  <c r="S30"/>
  <c r="Y30"/>
  <c r="Y28"/>
  <c r="S28"/>
  <c r="Y26"/>
  <c r="S26"/>
  <c r="S119"/>
  <c r="T119" s="1"/>
  <c r="V119" s="1"/>
  <c r="Y119"/>
  <c r="S126"/>
  <c r="U126" s="1"/>
  <c r="Y126"/>
  <c r="S110"/>
  <c r="U110" s="1"/>
  <c r="Y110"/>
  <c r="S114"/>
  <c r="T114" s="1"/>
  <c r="V114" s="1"/>
  <c r="Y114"/>
  <c r="S137"/>
  <c r="T137" s="1"/>
  <c r="V137" s="1"/>
  <c r="Y137"/>
  <c r="S130"/>
  <c r="U130" s="1"/>
  <c r="Y130"/>
  <c r="S111"/>
  <c r="U111" s="1"/>
  <c r="Y111"/>
  <c r="S113"/>
  <c r="T113" s="1"/>
  <c r="V113" s="1"/>
  <c r="Y113"/>
  <c r="S131"/>
  <c r="U131" s="1"/>
  <c r="Y131"/>
  <c r="S120"/>
  <c r="U120" s="1"/>
  <c r="Y120"/>
  <c r="S116"/>
  <c r="U116" s="1"/>
  <c r="Y116"/>
  <c r="S129"/>
  <c r="T129" s="1"/>
  <c r="V129" s="1"/>
  <c r="Y129"/>
  <c r="S135"/>
  <c r="T135" s="1"/>
  <c r="V135" s="1"/>
  <c r="Y135"/>
  <c r="S123"/>
  <c r="T123" s="1"/>
  <c r="V123" s="1"/>
  <c r="Y123"/>
  <c r="S133"/>
  <c r="U133" s="1"/>
  <c r="Y133"/>
  <c r="S115"/>
  <c r="T115" s="1"/>
  <c r="V115" s="1"/>
  <c r="Y115"/>
  <c r="S122"/>
  <c r="T122" s="1"/>
  <c r="V122" s="1"/>
  <c r="Y122"/>
  <c r="S112"/>
  <c r="U112" s="1"/>
  <c r="Y112"/>
  <c r="S124"/>
  <c r="U124" s="1"/>
  <c r="Y124"/>
  <c r="S136"/>
  <c r="T136" s="1"/>
  <c r="V136" s="1"/>
  <c r="Y136"/>
  <c r="S134"/>
  <c r="U134" s="1"/>
  <c r="Y134"/>
  <c r="S117"/>
  <c r="U117" s="1"/>
  <c r="Y117"/>
  <c r="S121"/>
  <c r="T121" s="1"/>
  <c r="V121" s="1"/>
  <c r="Y121"/>
  <c r="S139"/>
  <c r="U139" s="1"/>
  <c r="Y139"/>
  <c r="U122"/>
  <c r="S128"/>
  <c r="S138"/>
  <c r="S140"/>
  <c r="S127"/>
  <c r="S132"/>
  <c r="S125"/>
  <c r="E3" i="5" l="1"/>
  <c r="D4"/>
  <c r="E4" s="1"/>
  <c r="H11" i="4"/>
  <c r="K11" s="1"/>
  <c r="L11" s="1"/>
  <c r="I11"/>
  <c r="H4"/>
  <c r="F14"/>
  <c r="I4"/>
  <c r="H6"/>
  <c r="K6" s="1"/>
  <c r="I6"/>
  <c r="J6" s="1"/>
  <c r="H13"/>
  <c r="K13" s="1"/>
  <c r="L13" s="1"/>
  <c r="N13" s="1"/>
  <c r="I13"/>
  <c r="H12"/>
  <c r="K12" s="1"/>
  <c r="I12"/>
  <c r="J12" s="1"/>
  <c r="H9"/>
  <c r="K9" s="1"/>
  <c r="I9"/>
  <c r="J9" s="1"/>
  <c r="H7"/>
  <c r="K7" s="1"/>
  <c r="I7"/>
  <c r="J7" s="1"/>
  <c r="H8"/>
  <c r="K8" s="1"/>
  <c r="I8"/>
  <c r="J8" s="1"/>
  <c r="H10"/>
  <c r="K10" s="1"/>
  <c r="L10" s="1"/>
  <c r="N10" s="1"/>
  <c r="I10"/>
  <c r="T118" i="1"/>
  <c r="V118" s="1"/>
  <c r="U118"/>
  <c r="Y148"/>
  <c r="S148"/>
  <c r="I149" s="1"/>
  <c r="I150" s="1"/>
  <c r="T89"/>
  <c r="V89" s="1"/>
  <c r="U89"/>
  <c r="T98"/>
  <c r="V98" s="1"/>
  <c r="U98"/>
  <c r="T95"/>
  <c r="V95" s="1"/>
  <c r="U95"/>
  <c r="U147"/>
  <c r="T147"/>
  <c r="V147" s="1"/>
  <c r="T142"/>
  <c r="V142" s="1"/>
  <c r="U142"/>
  <c r="T106"/>
  <c r="V106" s="1"/>
  <c r="U106"/>
  <c r="T100"/>
  <c r="V100" s="1"/>
  <c r="U100"/>
  <c r="T143"/>
  <c r="V143" s="1"/>
  <c r="U143"/>
  <c r="T93"/>
  <c r="V93" s="1"/>
  <c r="U93"/>
  <c r="T144"/>
  <c r="V144" s="1"/>
  <c r="U144"/>
  <c r="T99"/>
  <c r="V99" s="1"/>
  <c r="U99"/>
  <c r="T107"/>
  <c r="V107" s="1"/>
  <c r="U107"/>
  <c r="T103"/>
  <c r="V103" s="1"/>
  <c r="U103"/>
  <c r="T141"/>
  <c r="V141" s="1"/>
  <c r="U141"/>
  <c r="T105"/>
  <c r="V105" s="1"/>
  <c r="U105"/>
  <c r="T109"/>
  <c r="V109" s="1"/>
  <c r="U109"/>
  <c r="T146"/>
  <c r="V146" s="1"/>
  <c r="U146"/>
  <c r="T108"/>
  <c r="V108" s="1"/>
  <c r="U108"/>
  <c r="T101"/>
  <c r="V101" s="1"/>
  <c r="U101"/>
  <c r="T96"/>
  <c r="V96" s="1"/>
  <c r="U96"/>
  <c r="U145"/>
  <c r="T145"/>
  <c r="V145" s="1"/>
  <c r="T88"/>
  <c r="V88" s="1"/>
  <c r="U88"/>
  <c r="T104"/>
  <c r="V104" s="1"/>
  <c r="U104"/>
  <c r="T94"/>
  <c r="V94" s="1"/>
  <c r="U94"/>
  <c r="T97"/>
  <c r="V97" s="1"/>
  <c r="U97"/>
  <c r="T13"/>
  <c r="V13" s="1"/>
  <c r="U13"/>
  <c r="T4"/>
  <c r="U4"/>
  <c r="T12"/>
  <c r="V12" s="1"/>
  <c r="U12"/>
  <c r="T14"/>
  <c r="V14" s="1"/>
  <c r="U14"/>
  <c r="T5"/>
  <c r="V5" s="1"/>
  <c r="U5"/>
  <c r="T11"/>
  <c r="V11" s="1"/>
  <c r="U11"/>
  <c r="T15"/>
  <c r="V15" s="1"/>
  <c r="U15"/>
  <c r="T10"/>
  <c r="V10" s="1"/>
  <c r="U10"/>
  <c r="T9"/>
  <c r="V9" s="1"/>
  <c r="U9"/>
  <c r="T7"/>
  <c r="V7" s="1"/>
  <c r="U7"/>
  <c r="T16"/>
  <c r="V16" s="1"/>
  <c r="U16"/>
  <c r="T8"/>
  <c r="V8" s="1"/>
  <c r="U8"/>
  <c r="T6"/>
  <c r="V6" s="1"/>
  <c r="U6"/>
  <c r="T24"/>
  <c r="V24" s="1"/>
  <c r="U24"/>
  <c r="U25"/>
  <c r="T25"/>
  <c r="V25" s="1"/>
  <c r="T131"/>
  <c r="V131" s="1"/>
  <c r="U23"/>
  <c r="T23"/>
  <c r="V23" s="1"/>
  <c r="T80"/>
  <c r="V80" s="1"/>
  <c r="U80"/>
  <c r="U76"/>
  <c r="T76"/>
  <c r="V76" s="1"/>
  <c r="T18"/>
  <c r="V18" s="1"/>
  <c r="U18"/>
  <c r="U77"/>
  <c r="T77"/>
  <c r="V77" s="1"/>
  <c r="U21"/>
  <c r="T21"/>
  <c r="V21" s="1"/>
  <c r="T79"/>
  <c r="V79" s="1"/>
  <c r="U79"/>
  <c r="U22"/>
  <c r="T22"/>
  <c r="V22" s="1"/>
  <c r="T78"/>
  <c r="V78" s="1"/>
  <c r="U78"/>
  <c r="U19"/>
  <c r="T19"/>
  <c r="V19" s="1"/>
  <c r="U20"/>
  <c r="T20"/>
  <c r="V20" s="1"/>
  <c r="T66"/>
  <c r="V66" s="1"/>
  <c r="U66"/>
  <c r="U85"/>
  <c r="T85"/>
  <c r="V85" s="1"/>
  <c r="T82"/>
  <c r="V82" s="1"/>
  <c r="U82"/>
  <c r="T83"/>
  <c r="V83" s="1"/>
  <c r="U83"/>
  <c r="T86"/>
  <c r="V86" s="1"/>
  <c r="U86"/>
  <c r="T87"/>
  <c r="V87" s="1"/>
  <c r="U87"/>
  <c r="U84"/>
  <c r="T84"/>
  <c r="V84" s="1"/>
  <c r="T67"/>
  <c r="V67" s="1"/>
  <c r="U67"/>
  <c r="U81"/>
  <c r="T81"/>
  <c r="V81" s="1"/>
  <c r="T65"/>
  <c r="V65" s="1"/>
  <c r="T55"/>
  <c r="V55" s="1"/>
  <c r="U55"/>
  <c r="T60"/>
  <c r="V60" s="1"/>
  <c r="U60"/>
  <c r="T49"/>
  <c r="V49" s="1"/>
  <c r="U49"/>
  <c r="U50"/>
  <c r="T50"/>
  <c r="V50" s="1"/>
  <c r="U61"/>
  <c r="T61"/>
  <c r="V61" s="1"/>
  <c r="T43"/>
  <c r="V43" s="1"/>
  <c r="U43"/>
  <c r="U51"/>
  <c r="T51"/>
  <c r="V51" s="1"/>
  <c r="T133"/>
  <c r="V133" s="1"/>
  <c r="T54"/>
  <c r="V54" s="1"/>
  <c r="U54"/>
  <c r="T47"/>
  <c r="V47" s="1"/>
  <c r="U47"/>
  <c r="T40"/>
  <c r="V40" s="1"/>
  <c r="U40"/>
  <c r="U64"/>
  <c r="T64"/>
  <c r="V64" s="1"/>
  <c r="U52"/>
  <c r="T52"/>
  <c r="V52" s="1"/>
  <c r="U53"/>
  <c r="T53"/>
  <c r="V53" s="1"/>
  <c r="T57"/>
  <c r="V57" s="1"/>
  <c r="U57"/>
  <c r="T58"/>
  <c r="V58" s="1"/>
  <c r="U58"/>
  <c r="T56"/>
  <c r="V56" s="1"/>
  <c r="U56"/>
  <c r="T39"/>
  <c r="V39" s="1"/>
  <c r="U39"/>
  <c r="U48"/>
  <c r="T48"/>
  <c r="V48" s="1"/>
  <c r="T42"/>
  <c r="V42" s="1"/>
  <c r="U42"/>
  <c r="U62"/>
  <c r="T62"/>
  <c r="V62" s="1"/>
  <c r="U59"/>
  <c r="T59"/>
  <c r="V59" s="1"/>
  <c r="T120"/>
  <c r="V120" s="1"/>
  <c r="U41"/>
  <c r="T41"/>
  <c r="V41" s="1"/>
  <c r="U63"/>
  <c r="T63"/>
  <c r="V63" s="1"/>
  <c r="U46"/>
  <c r="T46"/>
  <c r="V46" s="1"/>
  <c r="T45"/>
  <c r="V45" s="1"/>
  <c r="U45"/>
  <c r="U44"/>
  <c r="T44"/>
  <c r="V44" s="1"/>
  <c r="U137"/>
  <c r="T134"/>
  <c r="V134" s="1"/>
  <c r="T124"/>
  <c r="V124" s="1"/>
  <c r="U135"/>
  <c r="U119"/>
  <c r="T112"/>
  <c r="V112" s="1"/>
  <c r="U121"/>
  <c r="T30"/>
  <c r="V30" s="1"/>
  <c r="U30"/>
  <c r="T31"/>
  <c r="V31" s="1"/>
  <c r="U31"/>
  <c r="U32"/>
  <c r="T32"/>
  <c r="V32" s="1"/>
  <c r="U33"/>
  <c r="T33"/>
  <c r="V33" s="1"/>
  <c r="T126"/>
  <c r="V126" s="1"/>
  <c r="U37"/>
  <c r="T37"/>
  <c r="V37" s="1"/>
  <c r="U123"/>
  <c r="T38"/>
  <c r="V38" s="1"/>
  <c r="U38"/>
  <c r="U35"/>
  <c r="T35"/>
  <c r="V35" s="1"/>
  <c r="T34"/>
  <c r="V34" s="1"/>
  <c r="U34"/>
  <c r="T130"/>
  <c r="V130" s="1"/>
  <c r="U29"/>
  <c r="T29"/>
  <c r="V29" s="1"/>
  <c r="T27"/>
  <c r="V27" s="1"/>
  <c r="U27"/>
  <c r="U28"/>
  <c r="T28"/>
  <c r="V28" s="1"/>
  <c r="T26"/>
  <c r="V26" s="1"/>
  <c r="U26"/>
  <c r="U136"/>
  <c r="T139"/>
  <c r="V139" s="1"/>
  <c r="T117"/>
  <c r="V117" s="1"/>
  <c r="U113"/>
  <c r="U114"/>
  <c r="T116"/>
  <c r="V116" s="1"/>
  <c r="T111"/>
  <c r="V111" s="1"/>
  <c r="U115"/>
  <c r="U129"/>
  <c r="T110"/>
  <c r="V110" s="1"/>
  <c r="U140"/>
  <c r="T140"/>
  <c r="V140" s="1"/>
  <c r="U132"/>
  <c r="T132"/>
  <c r="V132" s="1"/>
  <c r="T127"/>
  <c r="V127" s="1"/>
  <c r="U127"/>
  <c r="U138"/>
  <c r="T138"/>
  <c r="V138" s="1"/>
  <c r="T128"/>
  <c r="V128" s="1"/>
  <c r="U128"/>
  <c r="U125"/>
  <c r="T125"/>
  <c r="V125" s="1"/>
  <c r="F4" i="5" l="1"/>
  <c r="N11" i="4"/>
  <c r="M6"/>
  <c r="L6"/>
  <c r="N6" s="1"/>
  <c r="M10"/>
  <c r="J10"/>
  <c r="I14"/>
  <c r="J4"/>
  <c r="L9"/>
  <c r="N9" s="1"/>
  <c r="M9"/>
  <c r="L7"/>
  <c r="N7" s="1"/>
  <c r="M7"/>
  <c r="H14"/>
  <c r="K4"/>
  <c r="M12"/>
  <c r="L12"/>
  <c r="N12" s="1"/>
  <c r="M11"/>
  <c r="J11"/>
  <c r="M8"/>
  <c r="L8"/>
  <c r="N8" s="1"/>
  <c r="M13"/>
  <c r="J13"/>
  <c r="U148" i="1"/>
  <c r="V4"/>
  <c r="V148" s="1"/>
  <c r="T148"/>
  <c r="F5" i="5" l="1"/>
  <c r="J14" i="4"/>
  <c r="M4"/>
  <c r="K14"/>
  <c r="L4"/>
  <c r="E5" i="5" l="1"/>
  <c r="N4" i="4"/>
  <c r="L14"/>
  <c r="N14" s="1"/>
  <c r="M14"/>
  <c r="F2" i="5" l="1"/>
  <c r="E2"/>
</calcChain>
</file>

<file path=xl/sharedStrings.xml><?xml version="1.0" encoding="utf-8"?>
<sst xmlns="http://schemas.openxmlformats.org/spreadsheetml/2006/main" count="916" uniqueCount="328">
  <si>
    <t>BATU ENGAU</t>
  </si>
  <si>
    <t>KERANG</t>
  </si>
  <si>
    <t>TEMPAKAN</t>
  </si>
  <si>
    <t>25/01/2022</t>
  </si>
  <si>
    <t>MENGKUDU</t>
  </si>
  <si>
    <t>LOMU</t>
  </si>
  <si>
    <t>21/02/2022</t>
  </si>
  <si>
    <t>SEGENDANG</t>
  </si>
  <si>
    <t>14/03/2022</t>
  </si>
  <si>
    <t>RIWANG</t>
  </si>
  <si>
    <t>LANGGAI</t>
  </si>
  <si>
    <t>PETANGIS</t>
  </si>
  <si>
    <t>KERANG DAYO</t>
  </si>
  <si>
    <t>SAING PRUPUK</t>
  </si>
  <si>
    <t>BAI JAYA</t>
  </si>
  <si>
    <t>20/07/2022</t>
  </si>
  <si>
    <t>PENGGUREN JAYA</t>
  </si>
  <si>
    <t>TEBRU PASER DAMAI</t>
  </si>
  <si>
    <t>Kecamatan</t>
  </si>
  <si>
    <t>Desa/Kelurahan</t>
  </si>
  <si>
    <t>Tanggal</t>
  </si>
  <si>
    <t>Sumur Pompa</t>
  </si>
  <si>
    <t>Sumur Gali</t>
  </si>
  <si>
    <t>Hidran Umum</t>
  </si>
  <si>
    <t>PAH</t>
  </si>
  <si>
    <t>Tangki Air Bersih</t>
  </si>
  <si>
    <t>Embung</t>
  </si>
  <si>
    <t>Mata Air</t>
  </si>
  <si>
    <t>Pengolahan Air</t>
  </si>
  <si>
    <t>No</t>
  </si>
  <si>
    <t>BATU SOPANG</t>
  </si>
  <si>
    <t>SAMURANGAU</t>
  </si>
  <si>
    <t>BUSUI</t>
  </si>
  <si>
    <t>LEGAI</t>
  </si>
  <si>
    <t>SUNGAI TERIK</t>
  </si>
  <si>
    <t>23/06/2022</t>
  </si>
  <si>
    <t>KASUNGAI</t>
  </si>
  <si>
    <t>RANTAU BUTA</t>
  </si>
  <si>
    <t>29/12/2022</t>
  </si>
  <si>
    <t>RANTAU LAYUNG</t>
  </si>
  <si>
    <t>28/11/2022</t>
  </si>
  <si>
    <t>SONGKA</t>
  </si>
  <si>
    <t>16/01/2022</t>
  </si>
  <si>
    <t>14/12/2022</t>
  </si>
  <si>
    <t>BATU KAJANG</t>
  </si>
  <si>
    <t>KUARO</t>
  </si>
  <si>
    <t>LOLO</t>
  </si>
  <si>
    <t>29/06/2021</t>
  </si>
  <si>
    <t>RANGAN</t>
  </si>
  <si>
    <t>MODANG</t>
  </si>
  <si>
    <t>20/01/2022</t>
  </si>
  <si>
    <t>PASIR MAYANG</t>
  </si>
  <si>
    <t>SANDELEY</t>
  </si>
  <si>
    <t>KERTA BUMI</t>
  </si>
  <si>
    <t>PADANG JAYA</t>
  </si>
  <si>
    <t>27/07/2022</t>
  </si>
  <si>
    <t>HARAPAN BARU</t>
  </si>
  <si>
    <t>30/01/2022</t>
  </si>
  <si>
    <t>KENDAROM</t>
  </si>
  <si>
    <t>KLEMPANG SARI</t>
  </si>
  <si>
    <t>KELUANG PASER JAYA</t>
  </si>
  <si>
    <t>18/05/2022</t>
  </si>
  <si>
    <t>PONDONG BARU</t>
  </si>
  <si>
    <t>31/12/2021</t>
  </si>
  <si>
    <t>19/07/2022</t>
  </si>
  <si>
    <t>LONG IKIS</t>
  </si>
  <si>
    <t>LOMBOK</t>
  </si>
  <si>
    <t>23/03/2022</t>
  </si>
  <si>
    <t>SAWIT JAYA</t>
  </si>
  <si>
    <t>PAIT</t>
  </si>
  <si>
    <t>21/12/2022</t>
  </si>
  <si>
    <t>TAJUR</t>
  </si>
  <si>
    <t>MUARA ADANG</t>
  </si>
  <si>
    <t>TELUK WARU</t>
  </si>
  <si>
    <t>18/03/2021</t>
  </si>
  <si>
    <t>BUKIT SALOKA</t>
  </si>
  <si>
    <t>KRAYAN MAKMUR</t>
  </si>
  <si>
    <t>27/01/2022</t>
  </si>
  <si>
    <t>KRAYAN SENTOSA</t>
  </si>
  <si>
    <t>KRAYAN JAYA</t>
  </si>
  <si>
    <t>JEMPARING</t>
  </si>
  <si>
    <t>17/02/2022</t>
  </si>
  <si>
    <t>KAYUNGO</t>
  </si>
  <si>
    <t>28/09/2022</t>
  </si>
  <si>
    <t>KRAYAN BAHAGIA</t>
  </si>
  <si>
    <t>30/12/2021</t>
  </si>
  <si>
    <t>OLUNG</t>
  </si>
  <si>
    <t>26/01/2022</t>
  </si>
  <si>
    <t>KAYUNGO SARI</t>
  </si>
  <si>
    <t>KERTA BHAKTI</t>
  </si>
  <si>
    <t>SEKUROU JAYA</t>
  </si>
  <si>
    <t>LONG GELANG</t>
  </si>
  <si>
    <t>TIWEI</t>
  </si>
  <si>
    <t>22/02/2022</t>
  </si>
  <si>
    <t>BELIMBING</t>
  </si>
  <si>
    <t>25/07/2022</t>
  </si>
  <si>
    <t>ADANG JAYA</t>
  </si>
  <si>
    <t>TAJER MULYA</t>
  </si>
  <si>
    <t>BREWE</t>
  </si>
  <si>
    <t>25/05/2022</t>
  </si>
  <si>
    <t>ATANG PAIT</t>
  </si>
  <si>
    <t>13/10/2022</t>
  </si>
  <si>
    <t>LONG KALI</t>
  </si>
  <si>
    <t>MUARA TELAKE</t>
  </si>
  <si>
    <t>SEBAKUNG</t>
  </si>
  <si>
    <t>22/09/2022</t>
  </si>
  <si>
    <t>SEBAKUNG TAKA</t>
  </si>
  <si>
    <t>SEBAKUNG MAKMUR</t>
  </si>
  <si>
    <t>21/07/2022</t>
  </si>
  <si>
    <t>MUARA ADANG II</t>
  </si>
  <si>
    <t>BENTE TUALAN</t>
  </si>
  <si>
    <t>MENDIK</t>
  </si>
  <si>
    <t>MENDIK MAKMUR</t>
  </si>
  <si>
    <t>MENDIK BHAKTI</t>
  </si>
  <si>
    <t>MENDIK KARYA</t>
  </si>
  <si>
    <t>MUNGGU</t>
  </si>
  <si>
    <t>MUARA PIAS</t>
  </si>
  <si>
    <t>PERKUWEN</t>
  </si>
  <si>
    <t>PINANG JATUS</t>
  </si>
  <si>
    <t>MUARA LAMBAKAN</t>
  </si>
  <si>
    <t>21/06/2021</t>
  </si>
  <si>
    <t>KEPALA TELAKE</t>
  </si>
  <si>
    <t>19/02/2022</t>
  </si>
  <si>
    <t>MARUAT</t>
  </si>
  <si>
    <t>PETIKU</t>
  </si>
  <si>
    <t>15/11/2018</t>
  </si>
  <si>
    <t>MAKMUR JAYA</t>
  </si>
  <si>
    <t>24/01/2022</t>
  </si>
  <si>
    <t>GUNUNG PUTAR</t>
  </si>
  <si>
    <t>PUTANG</t>
  </si>
  <si>
    <t>MUARA TOYU</t>
  </si>
  <si>
    <t>MUARA KOMAM</t>
  </si>
  <si>
    <t>MUARA LANGON</t>
  </si>
  <si>
    <t>BATU BOTUK</t>
  </si>
  <si>
    <t>UKO</t>
  </si>
  <si>
    <t>MUARA KUARO</t>
  </si>
  <si>
    <t>25/12/2021</t>
  </si>
  <si>
    <t>PRAYON</t>
  </si>
  <si>
    <t>BINANGON</t>
  </si>
  <si>
    <t>24/12/2021</t>
  </si>
  <si>
    <t>MUARA PAYANG</t>
  </si>
  <si>
    <t>27/05/2015</t>
  </si>
  <si>
    <t>SWAN SLUTUNG</t>
  </si>
  <si>
    <t>25/02/2021</t>
  </si>
  <si>
    <t>SEKUAN MAKMUR</t>
  </si>
  <si>
    <t>23/02/2022</t>
  </si>
  <si>
    <t>SELERONG</t>
  </si>
  <si>
    <t>LUSAN</t>
  </si>
  <si>
    <t>LONG SAYO</t>
  </si>
  <si>
    <t>30/06/2021</t>
  </si>
  <si>
    <t>17/01/2022</t>
  </si>
  <si>
    <t>MUARA SAMU</t>
  </si>
  <si>
    <t>TANJUNG PINANG</t>
  </si>
  <si>
    <t>RANTAU ATAS</t>
  </si>
  <si>
    <t>LUAN</t>
  </si>
  <si>
    <t>19/01/2021</t>
  </si>
  <si>
    <t>SUWETO</t>
  </si>
  <si>
    <t>13/09/2022</t>
  </si>
  <si>
    <t>MUSER</t>
  </si>
  <si>
    <t>BIU</t>
  </si>
  <si>
    <t>RANTAU BINTUNGAN</t>
  </si>
  <si>
    <t>MUARA ANDEH</t>
  </si>
  <si>
    <t>LIBUR DINDING</t>
  </si>
  <si>
    <t>PASIR BALENGKONG</t>
  </si>
  <si>
    <t>LEMPESU</t>
  </si>
  <si>
    <t>BEKOSO</t>
  </si>
  <si>
    <t>DAMIT</t>
  </si>
  <si>
    <t>13/05/2022</t>
  </si>
  <si>
    <t>SUATANG</t>
  </si>
  <si>
    <t>PASIR BELENGKONG</t>
  </si>
  <si>
    <t>26/10/2022</t>
  </si>
  <si>
    <t>SENIUNG JAYA</t>
  </si>
  <si>
    <t>24/03/2022</t>
  </si>
  <si>
    <t>SULILIRAN BARU</t>
  </si>
  <si>
    <t>SULILIRAN</t>
  </si>
  <si>
    <t>LABURAN BARU</t>
  </si>
  <si>
    <t>LABURAN</t>
  </si>
  <si>
    <t>OLONG PINANG</t>
  </si>
  <si>
    <t>SUNGE BATU</t>
  </si>
  <si>
    <t>SUATANG KETEBAN</t>
  </si>
  <si>
    <t>SANGKURIMAN</t>
  </si>
  <si>
    <t>TANAH GROGOT</t>
  </si>
  <si>
    <t>JANJU</t>
  </si>
  <si>
    <t>30/08/2022</t>
  </si>
  <si>
    <t>SEMPULANG</t>
  </si>
  <si>
    <t>TEPIAN BATANG</t>
  </si>
  <si>
    <t>TANAH PERIUK</t>
  </si>
  <si>
    <t>21/04/2022</t>
  </si>
  <si>
    <t>PEPARA</t>
  </si>
  <si>
    <t>SUNGAI TUAK</t>
  </si>
  <si>
    <t>RANTAU PANJANG</t>
  </si>
  <si>
    <t>JONE</t>
  </si>
  <si>
    <t>PADANG PENGRAPAT</t>
  </si>
  <si>
    <t>31/01/2022</t>
  </si>
  <si>
    <t>MUARA PASIR</t>
  </si>
  <si>
    <t>15/06/2022</t>
  </si>
  <si>
    <t>PEREPAT</t>
  </si>
  <si>
    <t>PULAU RANTAU</t>
  </si>
  <si>
    <t>28/10/2022</t>
  </si>
  <si>
    <t>SUNGAI LANGIR</t>
  </si>
  <si>
    <t>SENAKEN</t>
  </si>
  <si>
    <t>TAPIS</t>
  </si>
  <si>
    <t>TANJUNG HARAPAN</t>
  </si>
  <si>
    <t>KELADEN</t>
  </si>
  <si>
    <t>TANJUNG ARU</t>
  </si>
  <si>
    <t>LABUANGKALLO</t>
  </si>
  <si>
    <t>SELENGOT</t>
  </si>
  <si>
    <t>LORI</t>
  </si>
  <si>
    <t>RANDOM</t>
  </si>
  <si>
    <t>SENIPAH</t>
  </si>
  <si>
    <t>KK</t>
  </si>
  <si>
    <t>Bukan Jaringan Perpipaan (BJP)</t>
  </si>
  <si>
    <t>PDAM</t>
  </si>
  <si>
    <t>Non PDAM</t>
  </si>
  <si>
    <t>Total JP</t>
  </si>
  <si>
    <t>Total BJP</t>
  </si>
  <si>
    <t>Jaringan Perpipaan (JP)</t>
  </si>
  <si>
    <t>Total Layanan Air</t>
  </si>
  <si>
    <t>Total Belum Terlayani</t>
  </si>
  <si>
    <t>Persentase Terlayani</t>
  </si>
  <si>
    <t>Persentase Belum Terlayani</t>
  </si>
  <si>
    <t>Persentase Terlayani PDAM</t>
  </si>
  <si>
    <t>Persentase Terlayani JP</t>
  </si>
  <si>
    <t>Persentase Terlayani BJP</t>
  </si>
  <si>
    <t>JIWA</t>
  </si>
  <si>
    <t>JUMLAH PENDUDUK</t>
  </si>
  <si>
    <t>SAMUNTAI</t>
  </si>
  <si>
    <t>SUATANG BARU/ KERESIK BURA</t>
  </si>
  <si>
    <t>https://www.dkp3a.kaltimprov.go.id/e-infoduk/</t>
  </si>
  <si>
    <t xml:space="preserve">Sumber data : </t>
  </si>
  <si>
    <t>http://prodeskel.binapemdes.kemendagri.go.id</t>
  </si>
  <si>
    <t>KECAMATAN</t>
  </si>
  <si>
    <t>LAYANAN AIR BERSIH</t>
  </si>
  <si>
    <t>JARINGAN PERPIPAAN</t>
  </si>
  <si>
    <t>BUKAN JARINGAN PERPIPAAN</t>
  </si>
  <si>
    <t>PERSENTASE TERLAYANI AIR BERSIH</t>
  </si>
  <si>
    <t>PERSENTASE BELUM TERLAYANI AIR BERSIH</t>
  </si>
  <si>
    <t>TERLAYANI AIR BERSIH (KK)</t>
  </si>
  <si>
    <t>BELUM TERLAYANI AIR BERSIH (KK)</t>
  </si>
  <si>
    <t>TERLAYANI AIR BERSIH (JIWA)</t>
  </si>
  <si>
    <t>BELUM TERLAYANI AIR BERSIH (JIWA)</t>
  </si>
  <si>
    <t>Koefisien jiwa/kk =</t>
  </si>
  <si>
    <t>Jumlah Mutu Barang / Jasa / SDM</t>
  </si>
  <si>
    <t>Jumlah Mutu Barang / Jasa yang dibutuhkan</t>
  </si>
  <si>
    <t>Jumlah Mutu Barang / Jasa yang tersedia</t>
  </si>
  <si>
    <t>Jumlah Mutu Barang / Jasa yang belum terlayani</t>
  </si>
  <si>
    <t>Total Pencapaian (%)</t>
  </si>
  <si>
    <t>Kuantitas (kebutuhan pokok minimal 60 liter/orang/hari</t>
  </si>
  <si>
    <t>layak</t>
  </si>
  <si>
    <t>Kualitas air (keruh, berwarna, berasa, berbusa, berbau)</t>
  </si>
  <si>
    <t>aman</t>
  </si>
  <si>
    <t>jp dan bjp</t>
  </si>
  <si>
    <t>Jaringan perpipaan</t>
  </si>
  <si>
    <t>Jaringan bukan perpipaan</t>
  </si>
  <si>
    <t>JARINGAN PERPIPAAN (JIWA)</t>
  </si>
  <si>
    <t>BUKAN JARINGAN PERPIPAAN (JIWA)</t>
  </si>
  <si>
    <t>JP</t>
  </si>
  <si>
    <t>DATA PELANGGAN PERUMDA AIR MINUM TIRTA KANDILO KAB. PASER</t>
  </si>
  <si>
    <t>PER KELURAHAN/ DESA</t>
  </si>
  <si>
    <t>BULAN   :   NOVEMBER   2022</t>
  </si>
  <si>
    <t>NO</t>
  </si>
  <si>
    <t>KECAMATAN  /</t>
  </si>
  <si>
    <t>JUMLAH</t>
  </si>
  <si>
    <t>PELANGGAN</t>
  </si>
  <si>
    <t xml:space="preserve">DESA </t>
  </si>
  <si>
    <t>AKTIF</t>
  </si>
  <si>
    <t>KEC. TANAH GROGOT</t>
  </si>
  <si>
    <t>Kelurahan Tanah Grogot</t>
  </si>
  <si>
    <t>Desa Janju</t>
  </si>
  <si>
    <t>Desa Tepian Batang</t>
  </si>
  <si>
    <t>Desa sempulang</t>
  </si>
  <si>
    <t>Desa jone</t>
  </si>
  <si>
    <t xml:space="preserve">Desa Rantau Panjang </t>
  </si>
  <si>
    <t>Desa Padang Pengrapat</t>
  </si>
  <si>
    <t>Desa Pondong</t>
  </si>
  <si>
    <t>Desa Tapis</t>
  </si>
  <si>
    <t>Desa Senaken</t>
  </si>
  <si>
    <t xml:space="preserve"> JUMLAH</t>
  </si>
  <si>
    <t>KEC. LONGKALI</t>
  </si>
  <si>
    <t>Kelurahan Longkali</t>
  </si>
  <si>
    <t>Desa Putang</t>
  </si>
  <si>
    <t>Desa Jemparing</t>
  </si>
  <si>
    <t>KEC. LONG IKIS</t>
  </si>
  <si>
    <t>Desa Lombok</t>
  </si>
  <si>
    <t>Desa Pait</t>
  </si>
  <si>
    <t>Desa Atang Pait</t>
  </si>
  <si>
    <t>Kelurahan Long Ikis</t>
  </si>
  <si>
    <t>Krayan  Bahagia</t>
  </si>
  <si>
    <t>Desa Semuntai</t>
  </si>
  <si>
    <t>Desa Sawit Jaya</t>
  </si>
  <si>
    <t>Modang</t>
  </si>
  <si>
    <t>Sandeley</t>
  </si>
  <si>
    <t>KEC. KUARO</t>
  </si>
  <si>
    <t>Kelurahan Kuaro</t>
  </si>
  <si>
    <t>Desa Kelempang Sari</t>
  </si>
  <si>
    <t>Desa Rangan Luar</t>
  </si>
  <si>
    <t>Desa Lolo</t>
  </si>
  <si>
    <t>Desa KPJ</t>
  </si>
  <si>
    <t>KEC. MUARA KOMAM</t>
  </si>
  <si>
    <t>Kelurahan Muara Komam</t>
  </si>
  <si>
    <t>Desa Selerong</t>
  </si>
  <si>
    <t>Desa Batu Botok</t>
  </si>
  <si>
    <t>KEC. BATU SOPANG</t>
  </si>
  <si>
    <t>Desa Batu Kajang</t>
  </si>
  <si>
    <t>KEC. BATU ENGAU</t>
  </si>
  <si>
    <t>Desa Kerang</t>
  </si>
  <si>
    <t>Desa Kerang Dayo</t>
  </si>
  <si>
    <t>Desa Tampakan</t>
  </si>
  <si>
    <t>Desa Mengkudu</t>
  </si>
  <si>
    <t>KEC. PASIR BELENGKONG</t>
  </si>
  <si>
    <t>Desa Sangkuriman</t>
  </si>
  <si>
    <t>Desa Ps. Belengkong</t>
  </si>
  <si>
    <t>Desa Tanah Periuk</t>
  </si>
  <si>
    <t>Desa Damit</t>
  </si>
  <si>
    <t>Desa Olong Pinang</t>
  </si>
  <si>
    <t>Desa Bekoso</t>
  </si>
  <si>
    <t>Desa Sungai Tuak</t>
  </si>
  <si>
    <t>Desa Pepara</t>
  </si>
  <si>
    <t>Desa Suliliran Baru</t>
  </si>
  <si>
    <t>Desa Suatang Baru</t>
  </si>
  <si>
    <t>Desa Suatang Keteban</t>
  </si>
  <si>
    <t>KEC. MUARA SAMU</t>
  </si>
  <si>
    <t>Desa Muser</t>
  </si>
  <si>
    <t>Desa Suweto</t>
  </si>
  <si>
    <t>Desa Biu</t>
  </si>
  <si>
    <t>Desa  Libur Dinding</t>
  </si>
  <si>
    <t xml:space="preserve"> TOTAL</t>
  </si>
  <si>
    <t>Total JP (JIWA)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</si>
</sst>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(* #,##0_);_(* \(#,##0\);_(* &quot;-&quot;??_);_(@_)"/>
    <numFmt numFmtId="166" formatCode="_-* #,##0_-;\-* #,##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  <font>
      <sz val="11"/>
      <color theme="1"/>
      <name val="Calibri"/>
      <family val="2"/>
      <charset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0" xfId="1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2"/>
    <xf numFmtId="0" fontId="4" fillId="0" borderId="0" xfId="2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165" fontId="0" fillId="0" borderId="1" xfId="3" applyNumberFormat="1" applyFont="1" applyBorder="1" applyAlignment="1">
      <alignment horizontal="center" vertical="center"/>
    </xf>
    <xf numFmtId="43" fontId="0" fillId="0" borderId="1" xfId="3" applyFont="1" applyBorder="1" applyAlignment="1">
      <alignment horizontal="center" vertical="center"/>
    </xf>
    <xf numFmtId="0" fontId="0" fillId="0" borderId="0" xfId="0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7" fillId="14" borderId="2" xfId="4" applyFont="1" applyFill="1" applyBorder="1" applyAlignment="1">
      <alignment horizontal="center" vertical="center"/>
    </xf>
    <xf numFmtId="0" fontId="7" fillId="14" borderId="7" xfId="4" applyFont="1" applyFill="1" applyBorder="1" applyAlignment="1">
      <alignment horizontal="center" vertical="center"/>
    </xf>
    <xf numFmtId="0" fontId="7" fillId="14" borderId="5" xfId="4" applyFont="1" applyFill="1" applyBorder="1" applyAlignment="1">
      <alignment horizontal="center" vertical="center"/>
    </xf>
    <xf numFmtId="0" fontId="7" fillId="14" borderId="8" xfId="4" applyFont="1" applyFill="1" applyBorder="1" applyAlignment="1">
      <alignment horizontal="center" vertical="center"/>
    </xf>
    <xf numFmtId="0" fontId="8" fillId="0" borderId="9" xfId="4" applyFont="1" applyBorder="1" applyAlignment="1">
      <alignment horizontal="center"/>
    </xf>
    <xf numFmtId="0" fontId="8" fillId="0" borderId="9" xfId="4" applyFont="1" applyBorder="1"/>
    <xf numFmtId="0" fontId="8" fillId="0" borderId="2" xfId="4" applyFont="1" applyBorder="1"/>
    <xf numFmtId="0" fontId="8" fillId="0" borderId="3" xfId="4" applyFont="1" applyBorder="1"/>
    <xf numFmtId="0" fontId="5" fillId="0" borderId="10" xfId="4" applyBorder="1"/>
    <xf numFmtId="0" fontId="9" fillId="0" borderId="11" xfId="4" applyFont="1" applyBorder="1"/>
    <xf numFmtId="166" fontId="9" fillId="0" borderId="10" xfId="5" applyFont="1" applyFill="1" applyBorder="1"/>
    <xf numFmtId="166" fontId="0" fillId="0" borderId="0" xfId="5" applyFont="1"/>
    <xf numFmtId="166" fontId="0" fillId="0" borderId="0" xfId="0" applyNumberFormat="1"/>
    <xf numFmtId="0" fontId="5" fillId="0" borderId="12" xfId="4" applyBorder="1"/>
    <xf numFmtId="0" fontId="9" fillId="0" borderId="9" xfId="4" applyFont="1" applyBorder="1"/>
    <xf numFmtId="166" fontId="9" fillId="0" borderId="13" xfId="5" applyFont="1" applyFill="1" applyBorder="1"/>
    <xf numFmtId="0" fontId="8" fillId="15" borderId="1" xfId="4" applyFont="1" applyFill="1" applyBorder="1"/>
    <xf numFmtId="0" fontId="10" fillId="15" borderId="4" xfId="4" applyFont="1" applyFill="1" applyBorder="1"/>
    <xf numFmtId="41" fontId="8" fillId="15" borderId="1" xfId="4" applyNumberFormat="1" applyFont="1" applyFill="1" applyBorder="1"/>
    <xf numFmtId="166" fontId="8" fillId="0" borderId="3" xfId="5" applyFont="1" applyFill="1" applyBorder="1"/>
    <xf numFmtId="0" fontId="9" fillId="0" borderId="14" xfId="4" applyFont="1" applyBorder="1"/>
    <xf numFmtId="166" fontId="9" fillId="0" borderId="3" xfId="5" applyFont="1" applyFill="1" applyBorder="1"/>
    <xf numFmtId="166" fontId="8" fillId="15" borderId="1" xfId="5" applyFont="1" applyFill="1" applyBorder="1"/>
    <xf numFmtId="166" fontId="10" fillId="15" borderId="4" xfId="5" applyFont="1" applyFill="1" applyBorder="1"/>
    <xf numFmtId="166" fontId="10" fillId="15" borderId="1" xfId="5" applyFont="1" applyFill="1" applyBorder="1"/>
    <xf numFmtId="0" fontId="8" fillId="0" borderId="10" xfId="4" applyFont="1" applyBorder="1" applyAlignment="1">
      <alignment horizontal="center"/>
    </xf>
    <xf numFmtId="0" fontId="10" fillId="0" borderId="11" xfId="4" applyFont="1" applyBorder="1"/>
    <xf numFmtId="0" fontId="10" fillId="0" borderId="14" xfId="4" applyFont="1" applyBorder="1"/>
    <xf numFmtId="0" fontId="10" fillId="0" borderId="12" xfId="4" applyFont="1" applyBorder="1"/>
    <xf numFmtId="0" fontId="9" fillId="16" borderId="10" xfId="4" applyFont="1" applyFill="1" applyBorder="1"/>
    <xf numFmtId="0" fontId="9" fillId="0" borderId="10" xfId="4" applyFont="1" applyBorder="1"/>
    <xf numFmtId="0" fontId="9" fillId="16" borderId="3" xfId="4" applyFont="1" applyFill="1" applyBorder="1"/>
    <xf numFmtId="0" fontId="8" fillId="0" borderId="15" xfId="4" applyFont="1" applyBorder="1" applyAlignment="1">
      <alignment horizontal="center"/>
    </xf>
    <xf numFmtId="0" fontId="10" fillId="0" borderId="16" xfId="4" applyFont="1" applyBorder="1"/>
    <xf numFmtId="0" fontId="10" fillId="0" borderId="15" xfId="4" applyFont="1" applyBorder="1"/>
    <xf numFmtId="0" fontId="9" fillId="0" borderId="16" xfId="4" applyFont="1" applyBorder="1"/>
    <xf numFmtId="0" fontId="9" fillId="0" borderId="15" xfId="4" applyFont="1" applyBorder="1"/>
    <xf numFmtId="0" fontId="10" fillId="0" borderId="10" xfId="4" applyFont="1" applyBorder="1"/>
    <xf numFmtId="0" fontId="10" fillId="15" borderId="1" xfId="4" applyFont="1" applyFill="1" applyBorder="1"/>
    <xf numFmtId="0" fontId="5" fillId="0" borderId="3" xfId="4" applyBorder="1"/>
    <xf numFmtId="0" fontId="9" fillId="0" borderId="3" xfId="4" applyFont="1" applyBorder="1"/>
    <xf numFmtId="0" fontId="11" fillId="0" borderId="10" xfId="4" applyFont="1" applyBorder="1"/>
    <xf numFmtId="0" fontId="12" fillId="0" borderId="11" xfId="4" applyFont="1" applyBorder="1"/>
    <xf numFmtId="41" fontId="8" fillId="2" borderId="17" xfId="4" applyNumberFormat="1" applyFont="1" applyFill="1" applyBorder="1" applyAlignment="1">
      <alignment horizontal="center"/>
    </xf>
    <xf numFmtId="1" fontId="0" fillId="0" borderId="0" xfId="0" applyNumberFormat="1"/>
    <xf numFmtId="0" fontId="0" fillId="2" borderId="1" xfId="0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/>
    </xf>
    <xf numFmtId="0" fontId="0" fillId="0" borderId="1" xfId="3" applyNumberFormat="1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43" fontId="0" fillId="0" borderId="3" xfId="3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6" fontId="0" fillId="0" borderId="10" xfId="5" applyFont="1" applyBorder="1"/>
    <xf numFmtId="166" fontId="0" fillId="0" borderId="13" xfId="5" applyFont="1" applyBorder="1"/>
    <xf numFmtId="166" fontId="10" fillId="0" borderId="12" xfId="5" applyFont="1" applyFill="1" applyBorder="1"/>
    <xf numFmtId="166" fontId="10" fillId="0" borderId="15" xfId="5" applyFont="1" applyFill="1" applyBorder="1"/>
    <xf numFmtId="166" fontId="10" fillId="0" borderId="10" xfId="5" applyFont="1" applyFill="1" applyBorder="1"/>
    <xf numFmtId="0" fontId="0" fillId="0" borderId="10" xfId="0" applyBorder="1"/>
    <xf numFmtId="0" fontId="0" fillId="0" borderId="13" xfId="0" applyBorder="1"/>
    <xf numFmtId="166" fontId="8" fillId="2" borderId="17" xfId="5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19" borderId="1" xfId="0" quotePrefix="1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/>
    </xf>
    <xf numFmtId="1" fontId="0" fillId="0" borderId="1" xfId="3" applyNumberFormat="1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7" fillId="14" borderId="2" xfId="4" applyFont="1" applyFill="1" applyBorder="1" applyAlignment="1">
      <alignment horizontal="center" vertical="center"/>
    </xf>
    <xf numFmtId="0" fontId="7" fillId="14" borderId="5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/>
    </xf>
    <xf numFmtId="0" fontId="8" fillId="2" borderId="17" xfId="4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9" fontId="0" fillId="0" borderId="18" xfId="1" applyFont="1" applyFill="1" applyBorder="1" applyAlignment="1">
      <alignment horizontal="center"/>
    </xf>
  </cellXfs>
  <cellStyles count="8">
    <cellStyle name="Comma" xfId="3" builtinId="3"/>
    <cellStyle name="Comma [0] 2" xfId="5"/>
    <cellStyle name="Comma [0] 3" xfId="7"/>
    <cellStyle name="Hyperlink" xfId="2" builtinId="8"/>
    <cellStyle name="Normal" xfId="0" builtinId="0"/>
    <cellStyle name="Normal 2" xfId="6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data%20pelanggan%20tg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1">
          <cell r="C61">
            <v>8451</v>
          </cell>
          <cell r="D61">
            <v>392</v>
          </cell>
          <cell r="E61">
            <v>1091</v>
          </cell>
          <cell r="F61">
            <v>464</v>
          </cell>
          <cell r="G61">
            <v>1853</v>
          </cell>
          <cell r="H61">
            <v>43</v>
          </cell>
          <cell r="I61">
            <v>790</v>
          </cell>
          <cell r="J61">
            <v>79</v>
          </cell>
          <cell r="K61">
            <v>1257</v>
          </cell>
          <cell r="L61">
            <v>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rodeskel.binapemdes.kemendagri.go.id/" TargetMode="External"/><Relationship Id="rId1" Type="http://schemas.openxmlformats.org/officeDocument/2006/relationships/hyperlink" Target="https://www.dkp3a.kaltimprov.go.id/e-infod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prodeskel.binapemdes.kemendagri.go.id/" TargetMode="External"/><Relationship Id="rId1" Type="http://schemas.openxmlformats.org/officeDocument/2006/relationships/hyperlink" Target="https://www.dkp3a.kaltimprov.go.id/e-infodu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opLeftCell="A3" workbookViewId="0">
      <selection activeCell="D13" sqref="D13"/>
    </sheetView>
  </sheetViews>
  <sheetFormatPr defaultRowHeight="15"/>
  <cols>
    <col min="2" max="2" width="38.140625" customWidth="1"/>
    <col min="3" max="3" width="16.140625" customWidth="1"/>
    <col min="4" max="4" width="18.5703125" customWidth="1"/>
    <col min="5" max="5" width="11" bestFit="1" customWidth="1"/>
  </cols>
  <sheetData>
    <row r="1" spans="1:7" ht="15.75">
      <c r="A1" s="114" t="s">
        <v>257</v>
      </c>
      <c r="B1" s="114"/>
      <c r="C1" s="114"/>
      <c r="D1" s="114"/>
    </row>
    <row r="2" spans="1:7" ht="15.75">
      <c r="A2" s="114" t="s">
        <v>258</v>
      </c>
      <c r="B2" s="114"/>
      <c r="C2" s="114"/>
      <c r="D2" s="114"/>
    </row>
    <row r="3" spans="1:7" ht="15.75">
      <c r="A3" s="114" t="s">
        <v>259</v>
      </c>
      <c r="B3" s="114"/>
      <c r="C3" s="114"/>
      <c r="D3" s="114"/>
    </row>
    <row r="5" spans="1:7">
      <c r="A5" s="115" t="s">
        <v>260</v>
      </c>
      <c r="B5" s="47" t="s">
        <v>261</v>
      </c>
      <c r="C5" s="48" t="s">
        <v>262</v>
      </c>
      <c r="D5" s="47" t="s">
        <v>263</v>
      </c>
      <c r="E5" s="47" t="s">
        <v>263</v>
      </c>
    </row>
    <row r="6" spans="1:7">
      <c r="A6" s="116"/>
      <c r="B6" s="49" t="s">
        <v>264</v>
      </c>
      <c r="C6" s="50" t="s">
        <v>263</v>
      </c>
      <c r="D6" s="49" t="s">
        <v>265</v>
      </c>
      <c r="E6" s="49" t="s">
        <v>265</v>
      </c>
    </row>
    <row r="7" spans="1:7">
      <c r="A7" s="51">
        <v>1</v>
      </c>
      <c r="B7" s="52" t="s">
        <v>266</v>
      </c>
      <c r="C7" s="53"/>
      <c r="D7" s="54"/>
      <c r="E7" s="54"/>
    </row>
    <row r="8" spans="1:7" ht="15.75">
      <c r="A8" s="55">
        <v>1</v>
      </c>
      <c r="B8" s="56" t="s">
        <v>267</v>
      </c>
      <c r="C8" s="57">
        <f>8487+49</f>
        <v>8536</v>
      </c>
      <c r="D8" s="57">
        <f>[1]Sheet1!$C$61+49</f>
        <v>8500</v>
      </c>
      <c r="E8" s="102">
        <v>8511</v>
      </c>
      <c r="G8" s="58"/>
    </row>
    <row r="9" spans="1:7" ht="15.75">
      <c r="A9" s="55">
        <v>2</v>
      </c>
      <c r="B9" s="56" t="s">
        <v>268</v>
      </c>
      <c r="C9" s="57">
        <f>399+5</f>
        <v>404</v>
      </c>
      <c r="D9" s="57">
        <f>[1]Sheet1!$D$61+5</f>
        <v>397</v>
      </c>
      <c r="E9" s="102">
        <v>398</v>
      </c>
    </row>
    <row r="10" spans="1:7" ht="15.75">
      <c r="A10" s="55">
        <v>3</v>
      </c>
      <c r="B10" s="56" t="s">
        <v>269</v>
      </c>
      <c r="C10" s="57">
        <f>1111+3</f>
        <v>1114</v>
      </c>
      <c r="D10" s="57">
        <f>[1]Sheet1!$E$61+3</f>
        <v>1094</v>
      </c>
      <c r="E10" s="102">
        <v>1099</v>
      </c>
      <c r="F10" s="59"/>
    </row>
    <row r="11" spans="1:7" ht="15.75">
      <c r="A11" s="55">
        <v>4</v>
      </c>
      <c r="B11" s="56" t="s">
        <v>270</v>
      </c>
      <c r="C11" s="57">
        <f>474+1</f>
        <v>475</v>
      </c>
      <c r="D11" s="57">
        <f>[1]Sheet1!$F$61+1</f>
        <v>465</v>
      </c>
      <c r="E11" s="102">
        <v>465</v>
      </c>
    </row>
    <row r="12" spans="1:7" ht="15.75">
      <c r="A12" s="55">
        <v>5</v>
      </c>
      <c r="B12" s="56" t="s">
        <v>271</v>
      </c>
      <c r="C12" s="57">
        <f>1853+30</f>
        <v>1883</v>
      </c>
      <c r="D12" s="57">
        <f>[1]Sheet1!$G$61+30</f>
        <v>1883</v>
      </c>
      <c r="E12" s="102">
        <v>1906</v>
      </c>
    </row>
    <row r="13" spans="1:7" ht="15.75">
      <c r="A13" s="55">
        <v>6</v>
      </c>
      <c r="B13" s="56" t="s">
        <v>272</v>
      </c>
      <c r="C13" s="57">
        <f>43+3</f>
        <v>46</v>
      </c>
      <c r="D13" s="57">
        <f>[1]Sheet1!$H$61+3</f>
        <v>46</v>
      </c>
      <c r="E13" s="102">
        <v>46</v>
      </c>
    </row>
    <row r="14" spans="1:7" ht="15.75">
      <c r="A14" s="55">
        <v>7</v>
      </c>
      <c r="B14" s="56" t="s">
        <v>273</v>
      </c>
      <c r="C14" s="57">
        <f>800-3</f>
        <v>797</v>
      </c>
      <c r="D14" s="57">
        <f>[1]Sheet1!$I$61</f>
        <v>790</v>
      </c>
      <c r="E14" s="102">
        <v>788</v>
      </c>
    </row>
    <row r="15" spans="1:7" ht="15.75">
      <c r="A15" s="55">
        <v>8</v>
      </c>
      <c r="B15" s="56" t="s">
        <v>274</v>
      </c>
      <c r="C15" s="57">
        <f>79+1</f>
        <v>80</v>
      </c>
      <c r="D15" s="57">
        <f>[1]Sheet1!$J$61+1</f>
        <v>80</v>
      </c>
      <c r="E15" s="102">
        <v>81</v>
      </c>
    </row>
    <row r="16" spans="1:7" ht="15.75">
      <c r="A16" s="55">
        <v>9</v>
      </c>
      <c r="B16" s="56" t="s">
        <v>275</v>
      </c>
      <c r="C16" s="57">
        <f>1267+2</f>
        <v>1269</v>
      </c>
      <c r="D16" s="57">
        <f>[1]Sheet1!$K$61+2</f>
        <v>1259</v>
      </c>
      <c r="E16" s="102">
        <v>1259</v>
      </c>
    </row>
    <row r="17" spans="1:5" ht="15.75">
      <c r="A17" s="60">
        <v>10</v>
      </c>
      <c r="B17" s="61" t="s">
        <v>276</v>
      </c>
      <c r="C17" s="62">
        <f>1202+3</f>
        <v>1205</v>
      </c>
      <c r="D17" s="62">
        <f>[1]Sheet1!$L$61+3</f>
        <v>1195</v>
      </c>
      <c r="E17" s="103">
        <v>1193</v>
      </c>
    </row>
    <row r="18" spans="1:5" ht="15.75">
      <c r="A18" s="63"/>
      <c r="B18" s="64" t="s">
        <v>277</v>
      </c>
      <c r="C18" s="65">
        <f>SUM(C8:C17)</f>
        <v>15809</v>
      </c>
      <c r="D18" s="65">
        <f>SUM(D8:D17)</f>
        <v>15709</v>
      </c>
      <c r="E18" s="69">
        <f>SUM(E8:E17)</f>
        <v>15746</v>
      </c>
    </row>
    <row r="19" spans="1:5">
      <c r="A19" s="51">
        <v>2</v>
      </c>
      <c r="B19" s="54" t="s">
        <v>278</v>
      </c>
      <c r="C19" s="52"/>
      <c r="D19" s="66"/>
      <c r="E19" s="66"/>
    </row>
    <row r="20" spans="1:5" ht="15.75">
      <c r="A20" s="55">
        <v>1</v>
      </c>
      <c r="B20" s="56" t="s">
        <v>279</v>
      </c>
      <c r="C20" s="57">
        <v>1004</v>
      </c>
      <c r="D20" s="57">
        <v>1004</v>
      </c>
      <c r="E20" s="57">
        <f>1004+3</f>
        <v>1007</v>
      </c>
    </row>
    <row r="21" spans="1:5" ht="15.75">
      <c r="A21" s="55">
        <v>2</v>
      </c>
      <c r="B21" s="56" t="s">
        <v>280</v>
      </c>
      <c r="C21" s="57">
        <v>161</v>
      </c>
      <c r="D21" s="57">
        <v>161</v>
      </c>
      <c r="E21" s="57">
        <v>161</v>
      </c>
    </row>
    <row r="22" spans="1:5" ht="15.75">
      <c r="A22" s="60">
        <v>3</v>
      </c>
      <c r="B22" s="67" t="s">
        <v>281</v>
      </c>
      <c r="C22" s="68">
        <v>144</v>
      </c>
      <c r="D22" s="68">
        <v>144</v>
      </c>
      <c r="E22" s="68">
        <v>144</v>
      </c>
    </row>
    <row r="23" spans="1:5" ht="15.75">
      <c r="A23" s="69"/>
      <c r="B23" s="70" t="s">
        <v>277</v>
      </c>
      <c r="C23" s="71">
        <f>SUM(C20:C22)</f>
        <v>1309</v>
      </c>
      <c r="D23" s="71">
        <f>SUM(D20:D22)</f>
        <v>1309</v>
      </c>
      <c r="E23" s="71">
        <f>SUM(E20:E22)</f>
        <v>1312</v>
      </c>
    </row>
    <row r="24" spans="1:5" ht="15.75">
      <c r="A24" s="72">
        <v>3</v>
      </c>
      <c r="B24" s="73" t="s">
        <v>282</v>
      </c>
      <c r="C24" s="74"/>
      <c r="D24" s="75"/>
      <c r="E24" s="104"/>
    </row>
    <row r="25" spans="1:5" ht="15.75">
      <c r="A25" s="55">
        <v>1</v>
      </c>
      <c r="B25" s="56" t="s">
        <v>283</v>
      </c>
      <c r="C25" s="76">
        <v>439</v>
      </c>
      <c r="D25" s="76">
        <v>439</v>
      </c>
      <c r="E25" s="57">
        <v>439</v>
      </c>
    </row>
    <row r="26" spans="1:5" ht="15.75">
      <c r="A26" s="55">
        <v>2</v>
      </c>
      <c r="B26" s="56" t="s">
        <v>284</v>
      </c>
      <c r="C26" s="76">
        <v>920</v>
      </c>
      <c r="D26" s="76">
        <v>920</v>
      </c>
      <c r="E26" s="57">
        <v>920</v>
      </c>
    </row>
    <row r="27" spans="1:5" ht="15.75">
      <c r="A27" s="55">
        <v>3</v>
      </c>
      <c r="B27" s="56" t="s">
        <v>285</v>
      </c>
      <c r="C27" s="76">
        <v>233</v>
      </c>
      <c r="D27" s="76">
        <v>233</v>
      </c>
      <c r="E27" s="57">
        <v>233</v>
      </c>
    </row>
    <row r="28" spans="1:5" ht="15.75">
      <c r="A28" s="55">
        <v>4</v>
      </c>
      <c r="B28" s="56" t="s">
        <v>286</v>
      </c>
      <c r="C28" s="76">
        <v>300</v>
      </c>
      <c r="D28" s="76">
        <v>300</v>
      </c>
      <c r="E28" s="57">
        <v>300</v>
      </c>
    </row>
    <row r="29" spans="1:5" ht="15.75">
      <c r="A29" s="55">
        <v>5</v>
      </c>
      <c r="B29" s="56" t="s">
        <v>287</v>
      </c>
      <c r="C29" s="77">
        <v>318</v>
      </c>
      <c r="D29" s="77">
        <v>318</v>
      </c>
      <c r="E29" s="57">
        <v>318</v>
      </c>
    </row>
    <row r="30" spans="1:5" ht="15.75">
      <c r="A30" s="55">
        <v>6</v>
      </c>
      <c r="B30" s="56" t="s">
        <v>288</v>
      </c>
      <c r="C30" s="76">
        <v>528</v>
      </c>
      <c r="D30" s="76">
        <v>528</v>
      </c>
      <c r="E30" s="57">
        <v>528</v>
      </c>
    </row>
    <row r="31" spans="1:5" ht="15.75">
      <c r="A31" s="55">
        <v>7</v>
      </c>
      <c r="B31" s="56" t="s">
        <v>289</v>
      </c>
      <c r="C31" s="77">
        <v>202</v>
      </c>
      <c r="D31" s="77">
        <v>202</v>
      </c>
      <c r="E31" s="57">
        <f>202+150</f>
        <v>352</v>
      </c>
    </row>
    <row r="32" spans="1:5" ht="15.75">
      <c r="A32" s="55">
        <v>8</v>
      </c>
      <c r="B32" s="56" t="s">
        <v>290</v>
      </c>
      <c r="C32" s="77">
        <v>36</v>
      </c>
      <c r="D32" s="77">
        <v>36</v>
      </c>
      <c r="E32" s="57">
        <v>36</v>
      </c>
    </row>
    <row r="33" spans="1:5" ht="15.75">
      <c r="A33" s="60">
        <v>9</v>
      </c>
      <c r="B33" s="67" t="s">
        <v>291</v>
      </c>
      <c r="C33" s="78">
        <v>246</v>
      </c>
      <c r="D33" s="78">
        <v>246</v>
      </c>
      <c r="E33" s="68">
        <v>246</v>
      </c>
    </row>
    <row r="34" spans="1:5" ht="15.75">
      <c r="A34" s="63"/>
      <c r="B34" s="64" t="s">
        <v>277</v>
      </c>
      <c r="C34" s="71">
        <f>SUM(C25:C33)</f>
        <v>3222</v>
      </c>
      <c r="D34" s="71">
        <f>SUM(D25:D33)</f>
        <v>3222</v>
      </c>
      <c r="E34" s="71">
        <f>SUM(E25:E33)</f>
        <v>3372</v>
      </c>
    </row>
    <row r="35" spans="1:5" ht="15.75">
      <c r="A35" s="79">
        <v>4</v>
      </c>
      <c r="B35" s="80" t="s">
        <v>292</v>
      </c>
      <c r="C35" s="80"/>
      <c r="D35" s="81"/>
      <c r="E35" s="105"/>
    </row>
    <row r="36" spans="1:5" ht="15.75">
      <c r="A36" s="55">
        <v>1</v>
      </c>
      <c r="B36" s="56" t="s">
        <v>293</v>
      </c>
      <c r="C36" s="57">
        <f>1320+8</f>
        <v>1328</v>
      </c>
      <c r="D36" s="57">
        <f>1320+8</f>
        <v>1328</v>
      </c>
      <c r="E36" s="57">
        <v>1333</v>
      </c>
    </row>
    <row r="37" spans="1:5" ht="15.75">
      <c r="A37" s="55">
        <v>2</v>
      </c>
      <c r="B37" s="56" t="s">
        <v>294</v>
      </c>
      <c r="C37" s="57">
        <f>324+2</f>
        <v>326</v>
      </c>
      <c r="D37" s="57">
        <f>324+2</f>
        <v>326</v>
      </c>
      <c r="E37" s="57">
        <v>327</v>
      </c>
    </row>
    <row r="38" spans="1:5" ht="15.75">
      <c r="A38" s="55">
        <v>3</v>
      </c>
      <c r="B38" s="56" t="s">
        <v>295</v>
      </c>
      <c r="C38" s="57">
        <v>121</v>
      </c>
      <c r="D38" s="57">
        <v>121</v>
      </c>
      <c r="E38" s="57">
        <v>121</v>
      </c>
    </row>
    <row r="39" spans="1:5" ht="15.75">
      <c r="A39" s="55">
        <v>4</v>
      </c>
      <c r="B39" s="56" t="s">
        <v>296</v>
      </c>
      <c r="C39" s="57">
        <v>148</v>
      </c>
      <c r="D39" s="57">
        <v>148</v>
      </c>
      <c r="E39" s="57">
        <v>149</v>
      </c>
    </row>
    <row r="40" spans="1:5" ht="15.75">
      <c r="A40" s="55">
        <v>5</v>
      </c>
      <c r="B40" s="56" t="s">
        <v>297</v>
      </c>
      <c r="C40" s="57">
        <f>648+1</f>
        <v>649</v>
      </c>
      <c r="D40" s="57">
        <f>648+1</f>
        <v>649</v>
      </c>
      <c r="E40" s="57">
        <v>651</v>
      </c>
    </row>
    <row r="41" spans="1:5" ht="15.75">
      <c r="A41" s="55"/>
      <c r="B41" s="56"/>
      <c r="C41" s="82"/>
      <c r="D41" s="83"/>
      <c r="E41" s="68"/>
    </row>
    <row r="42" spans="1:5" ht="15.75">
      <c r="A42" s="63"/>
      <c r="B42" s="64" t="s">
        <v>277</v>
      </c>
      <c r="C42" s="71">
        <f>SUM(C36:C40)</f>
        <v>2572</v>
      </c>
      <c r="D42" s="71">
        <f>SUM(D36:D40)</f>
        <v>2572</v>
      </c>
      <c r="E42" s="71">
        <f>SUM(E36:E40)</f>
        <v>2581</v>
      </c>
    </row>
    <row r="43" spans="1:5" ht="15.75">
      <c r="A43" s="72">
        <v>5</v>
      </c>
      <c r="B43" s="73" t="s">
        <v>298</v>
      </c>
      <c r="C43" s="73"/>
      <c r="D43" s="84"/>
      <c r="E43" s="106"/>
    </row>
    <row r="44" spans="1:5" ht="15.75">
      <c r="A44" s="55">
        <v>1</v>
      </c>
      <c r="B44" s="56" t="s">
        <v>299</v>
      </c>
      <c r="C44" s="57">
        <f>1069+26</f>
        <v>1095</v>
      </c>
      <c r="D44" s="57">
        <f>1069-1</f>
        <v>1068</v>
      </c>
      <c r="E44" s="57">
        <v>1070</v>
      </c>
    </row>
    <row r="45" spans="1:5" ht="15.75">
      <c r="A45" s="55">
        <v>2</v>
      </c>
      <c r="B45" s="56" t="s">
        <v>300</v>
      </c>
      <c r="C45" s="57">
        <f>37+7</f>
        <v>44</v>
      </c>
      <c r="D45" s="57">
        <v>37</v>
      </c>
      <c r="E45" s="57">
        <v>37</v>
      </c>
    </row>
    <row r="46" spans="1:5" ht="15.75">
      <c r="A46" s="55">
        <v>3</v>
      </c>
      <c r="B46" s="56" t="s">
        <v>301</v>
      </c>
      <c r="C46" s="57">
        <f>178+15</f>
        <v>193</v>
      </c>
      <c r="D46" s="57">
        <v>178</v>
      </c>
      <c r="E46" s="57">
        <v>178</v>
      </c>
    </row>
    <row r="47" spans="1:5" ht="15.75">
      <c r="A47" s="63"/>
      <c r="B47" s="64" t="s">
        <v>277</v>
      </c>
      <c r="C47" s="71">
        <f>SUM(C44:C46)</f>
        <v>1332</v>
      </c>
      <c r="D47" s="71">
        <f>SUM(D44:D46)</f>
        <v>1283</v>
      </c>
      <c r="E47" s="71">
        <f>SUM(E44:E46)</f>
        <v>1285</v>
      </c>
    </row>
    <row r="48" spans="1:5" ht="15.75">
      <c r="A48" s="72">
        <v>6</v>
      </c>
      <c r="B48" s="73" t="s">
        <v>302</v>
      </c>
      <c r="C48" s="73"/>
      <c r="D48" s="84"/>
      <c r="E48" s="106"/>
    </row>
    <row r="49" spans="1:5" ht="15.75">
      <c r="A49" s="55">
        <v>1</v>
      </c>
      <c r="B49" s="56" t="s">
        <v>303</v>
      </c>
      <c r="C49" s="77">
        <v>395</v>
      </c>
      <c r="D49" s="77">
        <v>395</v>
      </c>
      <c r="E49" s="57">
        <v>400</v>
      </c>
    </row>
    <row r="50" spans="1:5" ht="15.75">
      <c r="A50" s="55"/>
      <c r="B50" s="56"/>
      <c r="C50" s="56"/>
      <c r="D50" s="77"/>
      <c r="E50" s="68"/>
    </row>
    <row r="51" spans="1:5" ht="15.75">
      <c r="A51" s="63"/>
      <c r="B51" s="64" t="s">
        <v>277</v>
      </c>
      <c r="C51" s="85">
        <f>SUM(C49)</f>
        <v>395</v>
      </c>
      <c r="D51" s="85">
        <f>SUM(D49)</f>
        <v>395</v>
      </c>
      <c r="E51" s="71">
        <f>SUM(E49)</f>
        <v>400</v>
      </c>
    </row>
    <row r="52" spans="1:5" ht="15.75">
      <c r="A52" s="72">
        <v>7</v>
      </c>
      <c r="B52" s="73" t="s">
        <v>304</v>
      </c>
      <c r="C52" s="73"/>
      <c r="D52" s="84"/>
      <c r="E52" s="106"/>
    </row>
    <row r="53" spans="1:5" ht="15.75">
      <c r="A53" s="55">
        <v>1</v>
      </c>
      <c r="B53" s="56" t="s">
        <v>305</v>
      </c>
      <c r="C53" s="77">
        <f>503+1</f>
        <v>504</v>
      </c>
      <c r="D53" s="77">
        <v>503</v>
      </c>
      <c r="E53" s="57">
        <v>511</v>
      </c>
    </row>
    <row r="54" spans="1:5" ht="15.75">
      <c r="A54" s="55">
        <v>2</v>
      </c>
      <c r="B54" s="56" t="s">
        <v>306</v>
      </c>
      <c r="C54" s="77">
        <v>339</v>
      </c>
      <c r="D54" s="77">
        <v>339</v>
      </c>
      <c r="E54" s="57">
        <v>343</v>
      </c>
    </row>
    <row r="55" spans="1:5" ht="15.75">
      <c r="A55" s="55">
        <v>3</v>
      </c>
      <c r="B55" s="56" t="s">
        <v>307</v>
      </c>
      <c r="C55" s="77">
        <v>79</v>
      </c>
      <c r="D55" s="77">
        <v>79</v>
      </c>
      <c r="E55" s="57">
        <v>79</v>
      </c>
    </row>
    <row r="56" spans="1:5" ht="15.75">
      <c r="A56" s="55">
        <v>4</v>
      </c>
      <c r="B56" s="56" t="s">
        <v>308</v>
      </c>
      <c r="C56" s="77">
        <v>16</v>
      </c>
      <c r="D56" s="77">
        <v>16</v>
      </c>
      <c r="E56" s="57">
        <v>16</v>
      </c>
    </row>
    <row r="57" spans="1:5" ht="15.75">
      <c r="A57" s="63"/>
      <c r="B57" s="64" t="s">
        <v>277</v>
      </c>
      <c r="C57" s="85">
        <f>SUM(C53:C56)</f>
        <v>938</v>
      </c>
      <c r="D57" s="85">
        <f>SUM(D53:D56)</f>
        <v>937</v>
      </c>
      <c r="E57" s="71">
        <f>SUM(E53:E56)</f>
        <v>949</v>
      </c>
    </row>
    <row r="58" spans="1:5" ht="15.75">
      <c r="A58" s="72">
        <v>8</v>
      </c>
      <c r="B58" s="73" t="s">
        <v>309</v>
      </c>
      <c r="C58" s="73"/>
      <c r="D58" s="84"/>
      <c r="E58" s="106"/>
    </row>
    <row r="59" spans="1:5" ht="15.75">
      <c r="A59" s="55">
        <v>1</v>
      </c>
      <c r="B59" s="56" t="s">
        <v>310</v>
      </c>
      <c r="C59" s="77">
        <v>739</v>
      </c>
      <c r="D59" s="77">
        <v>721</v>
      </c>
      <c r="E59" s="107">
        <v>732</v>
      </c>
    </row>
    <row r="60" spans="1:5" ht="15.75">
      <c r="A60" s="55">
        <v>2</v>
      </c>
      <c r="B60" s="56" t="s">
        <v>311</v>
      </c>
      <c r="C60" s="77">
        <f>572+13+3</f>
        <v>588</v>
      </c>
      <c r="D60" s="77">
        <v>572</v>
      </c>
      <c r="E60" s="107">
        <v>576</v>
      </c>
    </row>
    <row r="61" spans="1:5" ht="15.75">
      <c r="A61" s="55">
        <v>3</v>
      </c>
      <c r="B61" s="56" t="s">
        <v>312</v>
      </c>
      <c r="C61" s="77">
        <f>913+5+4</f>
        <v>922</v>
      </c>
      <c r="D61" s="77">
        <v>913</v>
      </c>
      <c r="E61" s="107">
        <v>920</v>
      </c>
    </row>
    <row r="62" spans="1:5" ht="15.75">
      <c r="A62" s="55">
        <v>4</v>
      </c>
      <c r="B62" s="56" t="s">
        <v>313</v>
      </c>
      <c r="C62" s="77">
        <f>817+4</f>
        <v>821</v>
      </c>
      <c r="D62" s="77">
        <v>817</v>
      </c>
      <c r="E62" s="107">
        <v>818</v>
      </c>
    </row>
    <row r="63" spans="1:5" ht="15.75">
      <c r="A63" s="55">
        <v>5</v>
      </c>
      <c r="B63" s="56" t="s">
        <v>314</v>
      </c>
      <c r="C63" s="77">
        <f>230+3</f>
        <v>233</v>
      </c>
      <c r="D63" s="77">
        <v>230</v>
      </c>
      <c r="E63" s="107">
        <v>230</v>
      </c>
    </row>
    <row r="64" spans="1:5" ht="15.75">
      <c r="A64" s="55">
        <v>6</v>
      </c>
      <c r="B64" s="56" t="s">
        <v>315</v>
      </c>
      <c r="C64" s="77">
        <f>327+1</f>
        <v>328</v>
      </c>
      <c r="D64" s="77">
        <v>327</v>
      </c>
      <c r="E64" s="107">
        <v>327</v>
      </c>
    </row>
    <row r="65" spans="1:5" ht="15.75">
      <c r="A65" s="55">
        <v>7</v>
      </c>
      <c r="B65" s="56" t="s">
        <v>316</v>
      </c>
      <c r="C65" s="77">
        <v>357</v>
      </c>
      <c r="D65" s="77">
        <v>357</v>
      </c>
      <c r="E65" s="107">
        <v>358</v>
      </c>
    </row>
    <row r="66" spans="1:5" ht="15.75">
      <c r="A66" s="55">
        <v>8</v>
      </c>
      <c r="B66" s="56" t="s">
        <v>317</v>
      </c>
      <c r="C66" s="77">
        <f>22+2</f>
        <v>24</v>
      </c>
      <c r="D66" s="77">
        <v>22</v>
      </c>
      <c r="E66" s="107">
        <v>27</v>
      </c>
    </row>
    <row r="67" spans="1:5" ht="15.75">
      <c r="A67" s="55">
        <v>9</v>
      </c>
      <c r="B67" s="56" t="s">
        <v>318</v>
      </c>
      <c r="C67" s="77">
        <v>83</v>
      </c>
      <c r="D67" s="77">
        <v>83</v>
      </c>
      <c r="E67" s="107">
        <v>87</v>
      </c>
    </row>
    <row r="68" spans="1:5" ht="15.75">
      <c r="A68" s="55">
        <v>10</v>
      </c>
      <c r="B68" s="56" t="s">
        <v>319</v>
      </c>
      <c r="C68" s="77">
        <v>5</v>
      </c>
      <c r="D68" s="77">
        <v>5</v>
      </c>
      <c r="E68" s="107">
        <v>5</v>
      </c>
    </row>
    <row r="69" spans="1:5" ht="15.75">
      <c r="A69" s="86">
        <v>11</v>
      </c>
      <c r="B69" s="61" t="s">
        <v>320</v>
      </c>
      <c r="C69" s="87">
        <f>4+1</f>
        <v>5</v>
      </c>
      <c r="D69" s="87">
        <v>4</v>
      </c>
      <c r="E69" s="108">
        <v>5</v>
      </c>
    </row>
    <row r="70" spans="1:5" ht="15.75">
      <c r="A70" s="63"/>
      <c r="B70" s="64" t="s">
        <v>277</v>
      </c>
      <c r="C70" s="71">
        <f>SUM(C59:C69)</f>
        <v>4105</v>
      </c>
      <c r="D70" s="71">
        <f>SUM(D59:D69)</f>
        <v>4051</v>
      </c>
      <c r="E70" s="71">
        <f>SUM(E59:E69)</f>
        <v>4085</v>
      </c>
    </row>
    <row r="71" spans="1:5" ht="15.75">
      <c r="A71" s="72">
        <v>9</v>
      </c>
      <c r="B71" s="73" t="s">
        <v>321</v>
      </c>
      <c r="C71" s="73"/>
      <c r="D71" s="84"/>
      <c r="E71" s="106"/>
    </row>
    <row r="72" spans="1:5" ht="15.75">
      <c r="A72" s="55">
        <v>1</v>
      </c>
      <c r="B72" s="56" t="s">
        <v>322</v>
      </c>
      <c r="C72" s="77">
        <f>239+3</f>
        <v>242</v>
      </c>
      <c r="D72" s="77">
        <f>239+3</f>
        <v>242</v>
      </c>
      <c r="E72" s="57">
        <f>242+5</f>
        <v>247</v>
      </c>
    </row>
    <row r="73" spans="1:5" ht="15.75">
      <c r="A73" s="55">
        <v>2</v>
      </c>
      <c r="B73" s="56" t="s">
        <v>323</v>
      </c>
      <c r="C73" s="77">
        <v>1</v>
      </c>
      <c r="D73" s="77">
        <v>1</v>
      </c>
      <c r="E73" s="57">
        <v>1</v>
      </c>
    </row>
    <row r="74" spans="1:5" ht="15.75">
      <c r="A74" s="55">
        <v>3</v>
      </c>
      <c r="B74" s="56" t="s">
        <v>324</v>
      </c>
      <c r="C74" s="77">
        <f>128</f>
        <v>128</v>
      </c>
      <c r="D74" s="77">
        <f>128</f>
        <v>128</v>
      </c>
      <c r="E74" s="57">
        <f>128</f>
        <v>128</v>
      </c>
    </row>
    <row r="75" spans="1:5" ht="15.75">
      <c r="A75" s="88">
        <v>4</v>
      </c>
      <c r="B75" s="89" t="s">
        <v>325</v>
      </c>
      <c r="C75" s="77"/>
      <c r="D75" s="77"/>
      <c r="E75" s="57">
        <v>150</v>
      </c>
    </row>
    <row r="76" spans="1:5" ht="15.75">
      <c r="A76" s="63"/>
      <c r="B76" s="64" t="s">
        <v>277</v>
      </c>
      <c r="C76" s="85">
        <f>SUM(C72:C74)</f>
        <v>371</v>
      </c>
      <c r="D76" s="85">
        <f>SUM(D72:D74)</f>
        <v>371</v>
      </c>
      <c r="E76" s="71">
        <f>SUM(E72:E75)</f>
        <v>526</v>
      </c>
    </row>
    <row r="77" spans="1:5">
      <c r="A77" s="117" t="s">
        <v>326</v>
      </c>
      <c r="B77" s="118"/>
      <c r="C77" s="90">
        <f>C18+C23+C34+C42+C47+C51+C57+C70+C76</f>
        <v>30053</v>
      </c>
      <c r="D77" s="90">
        <f>D18+D23+D34+D42+D47+D51+D57+D70+D76</f>
        <v>29849</v>
      </c>
      <c r="E77" s="109">
        <f>E18+E23+E34+E42+E47+E51+E57+E70+E76</f>
        <v>30256</v>
      </c>
    </row>
  </sheetData>
  <mergeCells count="5">
    <mergeCell ref="A1:D1"/>
    <mergeCell ref="A2:D2"/>
    <mergeCell ref="A3:D3"/>
    <mergeCell ref="A5:A6"/>
    <mergeCell ref="A77:B77"/>
  </mergeCells>
  <pageMargins left="0.70866141732283472" right="0.70866141732283472" top="0.74803149606299213" bottom="0.55118110236220474" header="0.31496062992125984" footer="0.31496062992125984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2"/>
  <sheetViews>
    <sheetView topLeftCell="J90" zoomScale="80" zoomScaleNormal="80" workbookViewId="0">
      <selection activeCell="J36" sqref="J36"/>
    </sheetView>
  </sheetViews>
  <sheetFormatPr defaultRowHeight="15"/>
  <cols>
    <col min="1" max="1" width="5.42578125" customWidth="1"/>
    <col min="2" max="2" width="20.140625" bestFit="1" customWidth="1"/>
    <col min="3" max="3" width="21.42578125" bestFit="1" customWidth="1"/>
    <col min="4" max="4" width="11.5703125" hidden="1" customWidth="1"/>
    <col min="5" max="6" width="11.5703125" customWidth="1"/>
    <col min="7" max="9" width="9.140625" customWidth="1"/>
    <col min="10" max="16" width="10.7109375" style="4" customWidth="1"/>
    <col min="17" max="17" width="11.42578125" style="4" bestFit="1" customWidth="1"/>
    <col min="21" max="21" width="11.42578125" customWidth="1"/>
    <col min="22" max="23" width="11.85546875" customWidth="1"/>
    <col min="24" max="25" width="12.140625" customWidth="1"/>
  </cols>
  <sheetData>
    <row r="1" spans="1:25">
      <c r="A1" s="120" t="s">
        <v>29</v>
      </c>
      <c r="B1" s="120" t="s">
        <v>18</v>
      </c>
      <c r="C1" s="120" t="s">
        <v>19</v>
      </c>
      <c r="D1" s="1"/>
      <c r="E1" s="121" t="s">
        <v>225</v>
      </c>
      <c r="F1" s="121"/>
      <c r="G1" s="121" t="s">
        <v>216</v>
      </c>
      <c r="H1" s="121"/>
      <c r="I1" s="121"/>
      <c r="J1" s="120" t="s">
        <v>211</v>
      </c>
      <c r="K1" s="120"/>
      <c r="L1" s="120"/>
      <c r="M1" s="120"/>
      <c r="N1" s="120"/>
      <c r="O1" s="120"/>
      <c r="P1" s="120"/>
      <c r="Q1" s="120"/>
      <c r="R1" s="120"/>
      <c r="S1" s="122" t="s">
        <v>217</v>
      </c>
      <c r="T1" s="119" t="s">
        <v>218</v>
      </c>
      <c r="U1" s="123" t="s">
        <v>219</v>
      </c>
      <c r="V1" s="119" t="s">
        <v>220</v>
      </c>
      <c r="W1" s="119" t="s">
        <v>221</v>
      </c>
      <c r="X1" s="119" t="s">
        <v>222</v>
      </c>
      <c r="Y1" s="119" t="s">
        <v>223</v>
      </c>
    </row>
    <row r="2" spans="1:25" ht="30">
      <c r="A2" s="120"/>
      <c r="B2" s="120"/>
      <c r="C2" s="120"/>
      <c r="D2" s="5" t="s">
        <v>20</v>
      </c>
      <c r="E2" s="3" t="s">
        <v>210</v>
      </c>
      <c r="F2" s="3" t="s">
        <v>224</v>
      </c>
      <c r="G2" s="3" t="s">
        <v>212</v>
      </c>
      <c r="H2" s="3" t="s">
        <v>213</v>
      </c>
      <c r="I2" s="3" t="s">
        <v>214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3" t="s">
        <v>215</v>
      </c>
      <c r="S2" s="122"/>
      <c r="T2" s="119"/>
      <c r="U2" s="123"/>
      <c r="V2" s="119"/>
      <c r="W2" s="119"/>
      <c r="X2" s="119"/>
      <c r="Y2" s="119"/>
    </row>
    <row r="3" spans="1:25">
      <c r="A3" s="26">
        <v>1</v>
      </c>
      <c r="B3" s="26">
        <v>2</v>
      </c>
      <c r="C3" s="26">
        <v>3</v>
      </c>
      <c r="D3" s="26">
        <v>4</v>
      </c>
      <c r="E3" s="26">
        <v>4</v>
      </c>
      <c r="F3" s="26">
        <v>5</v>
      </c>
      <c r="G3" s="26">
        <v>15</v>
      </c>
      <c r="H3" s="26">
        <v>16</v>
      </c>
      <c r="I3" s="26">
        <v>17</v>
      </c>
      <c r="J3" s="26">
        <v>6</v>
      </c>
      <c r="K3" s="26">
        <v>7</v>
      </c>
      <c r="L3" s="26">
        <v>8</v>
      </c>
      <c r="M3" s="26">
        <v>9</v>
      </c>
      <c r="N3" s="26">
        <v>10</v>
      </c>
      <c r="O3" s="26">
        <v>11</v>
      </c>
      <c r="P3" s="26">
        <v>12</v>
      </c>
      <c r="Q3" s="26">
        <v>13</v>
      </c>
      <c r="R3" s="26">
        <v>14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</row>
    <row r="4" spans="1:25">
      <c r="A4" s="1">
        <v>1</v>
      </c>
      <c r="B4" s="22" t="s">
        <v>0</v>
      </c>
      <c r="C4" s="23" t="s">
        <v>14</v>
      </c>
      <c r="D4" s="6" t="s">
        <v>15</v>
      </c>
      <c r="E4" s="15">
        <v>316</v>
      </c>
      <c r="F4" s="15">
        <v>848</v>
      </c>
      <c r="G4" s="1"/>
      <c r="H4" s="1"/>
      <c r="I4" s="1">
        <f t="shared" ref="I4:I16" si="0">H4+G4</f>
        <v>0</v>
      </c>
      <c r="J4" s="7">
        <v>3</v>
      </c>
      <c r="K4" s="7">
        <v>0</v>
      </c>
      <c r="L4" s="7">
        <v>0</v>
      </c>
      <c r="M4" s="7">
        <v>0</v>
      </c>
      <c r="N4" s="7">
        <v>2</v>
      </c>
      <c r="O4" s="7">
        <v>2</v>
      </c>
      <c r="P4" s="7">
        <v>0</v>
      </c>
      <c r="Q4" s="7">
        <v>0</v>
      </c>
      <c r="R4" s="1">
        <f t="shared" ref="R4:R17" si="1">SUM(J4:Q4)</f>
        <v>7</v>
      </c>
      <c r="S4" s="1">
        <f t="shared" ref="S4:S35" si="2">R4+I4</f>
        <v>7</v>
      </c>
      <c r="T4" s="1">
        <f t="shared" ref="T4:T35" si="3">E4-S4</f>
        <v>309</v>
      </c>
      <c r="U4" s="8">
        <f t="shared" ref="U4:U35" si="4">S4/E4</f>
        <v>2.2151898734177215E-2</v>
      </c>
      <c r="V4" s="8">
        <f t="shared" ref="V4:V35" si="5">T4/E4</f>
        <v>0.97784810126582278</v>
      </c>
      <c r="W4" s="8">
        <f t="shared" ref="W4:W25" si="6">G4/E4</f>
        <v>0</v>
      </c>
      <c r="X4" s="8">
        <f t="shared" ref="X4:X35" si="7">I4/E4</f>
        <v>0</v>
      </c>
      <c r="Y4" s="8">
        <f t="shared" ref="Y4:Y35" si="8">R4/E4</f>
        <v>2.2151898734177215E-2</v>
      </c>
    </row>
    <row r="5" spans="1:25">
      <c r="A5" s="1">
        <v>2</v>
      </c>
      <c r="B5" s="22" t="s">
        <v>0</v>
      </c>
      <c r="C5" s="22" t="s">
        <v>1</v>
      </c>
      <c r="D5" s="6">
        <v>44621</v>
      </c>
      <c r="E5" s="15">
        <v>1051</v>
      </c>
      <c r="F5" s="15">
        <v>3053</v>
      </c>
      <c r="G5" s="110">
        <v>511</v>
      </c>
      <c r="H5" s="1"/>
      <c r="I5" s="1">
        <f t="shared" si="0"/>
        <v>511</v>
      </c>
      <c r="J5" s="7">
        <v>0</v>
      </c>
      <c r="K5" s="7">
        <v>0</v>
      </c>
      <c r="L5" s="7">
        <v>0</v>
      </c>
      <c r="M5" s="7">
        <v>0</v>
      </c>
      <c r="N5" s="95">
        <f>62+86</f>
        <v>148</v>
      </c>
      <c r="O5" s="7">
        <v>0</v>
      </c>
      <c r="P5" s="7">
        <v>0</v>
      </c>
      <c r="Q5" s="7">
        <v>0</v>
      </c>
      <c r="R5" s="1">
        <f t="shared" si="1"/>
        <v>148</v>
      </c>
      <c r="S5" s="1">
        <f t="shared" si="2"/>
        <v>659</v>
      </c>
      <c r="T5" s="1">
        <f t="shared" si="3"/>
        <v>392</v>
      </c>
      <c r="U5" s="8">
        <f t="shared" si="4"/>
        <v>0.62702188392007607</v>
      </c>
      <c r="V5" s="8">
        <f t="shared" si="5"/>
        <v>0.37297811607992387</v>
      </c>
      <c r="W5" s="8">
        <f t="shared" si="6"/>
        <v>0.48620361560418651</v>
      </c>
      <c r="X5" s="8">
        <f t="shared" si="7"/>
        <v>0.48620361560418651</v>
      </c>
      <c r="Y5" s="8">
        <f t="shared" si="8"/>
        <v>0.14081826831588962</v>
      </c>
    </row>
    <row r="6" spans="1:25">
      <c r="A6" s="1">
        <v>3</v>
      </c>
      <c r="B6" s="22" t="s">
        <v>0</v>
      </c>
      <c r="C6" s="22" t="s">
        <v>12</v>
      </c>
      <c r="D6" s="6">
        <v>44751</v>
      </c>
      <c r="E6" s="15">
        <v>878</v>
      </c>
      <c r="F6" s="15">
        <v>2440</v>
      </c>
      <c r="G6" s="110">
        <v>343</v>
      </c>
      <c r="H6" s="1"/>
      <c r="I6" s="1">
        <f t="shared" si="0"/>
        <v>343</v>
      </c>
      <c r="J6" s="7">
        <v>0</v>
      </c>
      <c r="K6" s="7">
        <v>25</v>
      </c>
      <c r="L6" s="7">
        <v>0</v>
      </c>
      <c r="M6" s="7">
        <v>35</v>
      </c>
      <c r="N6" s="95">
        <f>20+118+27+166</f>
        <v>331</v>
      </c>
      <c r="O6" s="7">
        <v>4</v>
      </c>
      <c r="P6" s="7">
        <v>0</v>
      </c>
      <c r="Q6" s="7">
        <v>0</v>
      </c>
      <c r="R6" s="1">
        <f t="shared" si="1"/>
        <v>395</v>
      </c>
      <c r="S6" s="1">
        <f t="shared" si="2"/>
        <v>738</v>
      </c>
      <c r="T6" s="1">
        <f t="shared" si="3"/>
        <v>140</v>
      </c>
      <c r="U6" s="8">
        <f t="shared" si="4"/>
        <v>0.84054669703872442</v>
      </c>
      <c r="V6" s="8">
        <f t="shared" si="5"/>
        <v>0.15945330296127563</v>
      </c>
      <c r="W6" s="8">
        <f t="shared" si="6"/>
        <v>0.39066059225512528</v>
      </c>
      <c r="X6" s="8">
        <f t="shared" si="7"/>
        <v>0.39066059225512528</v>
      </c>
      <c r="Y6" s="8">
        <f t="shared" si="8"/>
        <v>0.44988610478359908</v>
      </c>
    </row>
    <row r="7" spans="1:25">
      <c r="A7" s="1">
        <v>4</v>
      </c>
      <c r="B7" s="22" t="s">
        <v>0</v>
      </c>
      <c r="C7" s="23" t="s">
        <v>10</v>
      </c>
      <c r="D7" s="6">
        <v>44866</v>
      </c>
      <c r="E7" s="15">
        <v>179</v>
      </c>
      <c r="F7" s="15">
        <v>501</v>
      </c>
      <c r="G7" s="1"/>
      <c r="H7" s="1"/>
      <c r="I7" s="1">
        <f t="shared" si="0"/>
        <v>0</v>
      </c>
      <c r="J7" s="7">
        <v>0</v>
      </c>
      <c r="K7" s="7">
        <v>20</v>
      </c>
      <c r="L7" s="7">
        <v>1</v>
      </c>
      <c r="M7" s="7">
        <v>0</v>
      </c>
      <c r="N7" s="95">
        <v>55</v>
      </c>
      <c r="O7" s="7">
        <v>1</v>
      </c>
      <c r="P7" s="7">
        <v>0</v>
      </c>
      <c r="Q7" s="7">
        <v>1</v>
      </c>
      <c r="R7" s="1">
        <f t="shared" si="1"/>
        <v>78</v>
      </c>
      <c r="S7" s="1">
        <f t="shared" si="2"/>
        <v>78</v>
      </c>
      <c r="T7" s="1">
        <f t="shared" si="3"/>
        <v>101</v>
      </c>
      <c r="U7" s="8">
        <f t="shared" si="4"/>
        <v>0.43575418994413406</v>
      </c>
      <c r="V7" s="8">
        <f t="shared" si="5"/>
        <v>0.56424581005586594</v>
      </c>
      <c r="W7" s="8">
        <f t="shared" si="6"/>
        <v>0</v>
      </c>
      <c r="X7" s="8">
        <f t="shared" si="7"/>
        <v>0</v>
      </c>
      <c r="Y7" s="8">
        <f t="shared" si="8"/>
        <v>0.43575418994413406</v>
      </c>
    </row>
    <row r="8" spans="1:25">
      <c r="A8" s="1">
        <v>5</v>
      </c>
      <c r="B8" s="22" t="s">
        <v>0</v>
      </c>
      <c r="C8" s="23" t="s">
        <v>5</v>
      </c>
      <c r="D8" s="6" t="s">
        <v>6</v>
      </c>
      <c r="E8" s="15">
        <v>263</v>
      </c>
      <c r="F8" s="15">
        <v>804</v>
      </c>
      <c r="G8" s="1"/>
      <c r="H8" s="1"/>
      <c r="I8" s="1">
        <f t="shared" si="0"/>
        <v>0</v>
      </c>
      <c r="J8" s="7">
        <v>0</v>
      </c>
      <c r="K8" s="7">
        <v>0</v>
      </c>
      <c r="L8" s="7">
        <v>0</v>
      </c>
      <c r="M8" s="7">
        <v>0</v>
      </c>
      <c r="N8" s="95">
        <f>11+6</f>
        <v>17</v>
      </c>
      <c r="O8" s="7">
        <v>5</v>
      </c>
      <c r="P8" s="7">
        <v>0</v>
      </c>
      <c r="Q8" s="7">
        <v>0</v>
      </c>
      <c r="R8" s="1">
        <f t="shared" si="1"/>
        <v>22</v>
      </c>
      <c r="S8" s="1">
        <f t="shared" si="2"/>
        <v>22</v>
      </c>
      <c r="T8" s="1">
        <f t="shared" si="3"/>
        <v>241</v>
      </c>
      <c r="U8" s="8">
        <f t="shared" si="4"/>
        <v>8.3650190114068435E-2</v>
      </c>
      <c r="V8" s="8">
        <f t="shared" si="5"/>
        <v>0.91634980988593151</v>
      </c>
      <c r="W8" s="8">
        <f t="shared" si="6"/>
        <v>0</v>
      </c>
      <c r="X8" s="8">
        <f t="shared" si="7"/>
        <v>0</v>
      </c>
      <c r="Y8" s="8">
        <f t="shared" si="8"/>
        <v>8.3650190114068435E-2</v>
      </c>
    </row>
    <row r="9" spans="1:25">
      <c r="A9" s="1">
        <v>6</v>
      </c>
      <c r="B9" s="22" t="s">
        <v>0</v>
      </c>
      <c r="C9" s="22" t="s">
        <v>4</v>
      </c>
      <c r="D9" s="6" t="s">
        <v>3</v>
      </c>
      <c r="E9" s="15">
        <v>781</v>
      </c>
      <c r="F9" s="15">
        <v>2301</v>
      </c>
      <c r="G9" s="30">
        <v>16</v>
      </c>
      <c r="H9" s="1"/>
      <c r="I9" s="1">
        <f t="shared" si="0"/>
        <v>16</v>
      </c>
      <c r="J9" s="7">
        <v>6</v>
      </c>
      <c r="K9" s="7">
        <v>50</v>
      </c>
      <c r="L9" s="7">
        <v>16</v>
      </c>
      <c r="M9" s="7">
        <v>648</v>
      </c>
      <c r="N9" s="7">
        <v>94</v>
      </c>
      <c r="O9" s="7">
        <v>5</v>
      </c>
      <c r="P9" s="7">
        <v>50</v>
      </c>
      <c r="Q9" s="7">
        <v>0</v>
      </c>
      <c r="R9" s="1">
        <f t="shared" si="1"/>
        <v>869</v>
      </c>
      <c r="S9" s="1">
        <f t="shared" si="2"/>
        <v>885</v>
      </c>
      <c r="T9" s="30">
        <f t="shared" si="3"/>
        <v>-104</v>
      </c>
      <c r="U9" s="8">
        <f t="shared" si="4"/>
        <v>1.1331626120358516</v>
      </c>
      <c r="V9" s="8">
        <f t="shared" si="5"/>
        <v>-0.13316261203585147</v>
      </c>
      <c r="W9" s="8">
        <f t="shared" si="6"/>
        <v>2.0486555697823303E-2</v>
      </c>
      <c r="X9" s="8">
        <f t="shared" si="7"/>
        <v>2.0486555697823303E-2</v>
      </c>
      <c r="Y9" s="8">
        <f t="shared" si="8"/>
        <v>1.1126760563380282</v>
      </c>
    </row>
    <row r="10" spans="1:25">
      <c r="A10" s="1">
        <v>7</v>
      </c>
      <c r="B10" s="22" t="s">
        <v>0</v>
      </c>
      <c r="C10" s="23" t="s">
        <v>16</v>
      </c>
      <c r="D10" s="6">
        <v>44866</v>
      </c>
      <c r="E10" s="15">
        <v>232</v>
      </c>
      <c r="F10" s="15">
        <v>690</v>
      </c>
      <c r="G10" s="1"/>
      <c r="H10" s="1"/>
      <c r="I10" s="1">
        <f t="shared" si="0"/>
        <v>0</v>
      </c>
      <c r="J10" s="7">
        <v>1</v>
      </c>
      <c r="K10" s="7">
        <v>15</v>
      </c>
      <c r="L10" s="7">
        <v>0</v>
      </c>
      <c r="M10" s="7">
        <v>0</v>
      </c>
      <c r="N10" s="7">
        <v>0</v>
      </c>
      <c r="O10" s="7">
        <v>8</v>
      </c>
      <c r="P10" s="7">
        <v>20</v>
      </c>
      <c r="Q10" s="7">
        <v>0</v>
      </c>
      <c r="R10" s="1">
        <f t="shared" si="1"/>
        <v>44</v>
      </c>
      <c r="S10" s="1">
        <f t="shared" si="2"/>
        <v>44</v>
      </c>
      <c r="T10" s="1">
        <f t="shared" si="3"/>
        <v>188</v>
      </c>
      <c r="U10" s="8">
        <f t="shared" si="4"/>
        <v>0.18965517241379309</v>
      </c>
      <c r="V10" s="8">
        <f t="shared" si="5"/>
        <v>0.81034482758620685</v>
      </c>
      <c r="W10" s="8">
        <f t="shared" si="6"/>
        <v>0</v>
      </c>
      <c r="X10" s="8">
        <f t="shared" si="7"/>
        <v>0</v>
      </c>
      <c r="Y10" s="8">
        <f t="shared" si="8"/>
        <v>0.18965517241379309</v>
      </c>
    </row>
    <row r="11" spans="1:25">
      <c r="A11" s="1">
        <v>8</v>
      </c>
      <c r="B11" s="22" t="s">
        <v>0</v>
      </c>
      <c r="C11" s="23" t="s">
        <v>11</v>
      </c>
      <c r="D11" s="6">
        <v>44896</v>
      </c>
      <c r="E11" s="15">
        <v>980</v>
      </c>
      <c r="F11" s="15">
        <v>2737</v>
      </c>
      <c r="G11" s="1"/>
      <c r="H11" s="1"/>
      <c r="I11" s="1">
        <f t="shared" si="0"/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1</v>
      </c>
      <c r="P11" s="7">
        <v>4</v>
      </c>
      <c r="Q11" s="7">
        <v>1</v>
      </c>
      <c r="R11" s="1">
        <f t="shared" si="1"/>
        <v>8</v>
      </c>
      <c r="S11" s="1">
        <f t="shared" si="2"/>
        <v>8</v>
      </c>
      <c r="T11" s="1">
        <f t="shared" si="3"/>
        <v>972</v>
      </c>
      <c r="U11" s="8">
        <f t="shared" si="4"/>
        <v>8.1632653061224497E-3</v>
      </c>
      <c r="V11" s="8">
        <f t="shared" si="5"/>
        <v>0.99183673469387756</v>
      </c>
      <c r="W11" s="8">
        <f t="shared" si="6"/>
        <v>0</v>
      </c>
      <c r="X11" s="8">
        <f t="shared" si="7"/>
        <v>0</v>
      </c>
      <c r="Y11" s="8">
        <f t="shared" si="8"/>
        <v>8.1632653061224497E-3</v>
      </c>
    </row>
    <row r="12" spans="1:25">
      <c r="A12" s="1">
        <v>9</v>
      </c>
      <c r="B12" s="22" t="s">
        <v>0</v>
      </c>
      <c r="C12" s="23" t="s">
        <v>9</v>
      </c>
      <c r="D12" s="6">
        <v>44621</v>
      </c>
      <c r="E12" s="15">
        <v>485</v>
      </c>
      <c r="F12" s="15">
        <v>1421</v>
      </c>
      <c r="G12" s="1"/>
      <c r="H12" s="1"/>
      <c r="I12" s="1">
        <f t="shared" si="0"/>
        <v>0</v>
      </c>
      <c r="J12" s="7">
        <v>0</v>
      </c>
      <c r="K12" s="7">
        <v>50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1">
        <f t="shared" si="1"/>
        <v>55</v>
      </c>
      <c r="S12" s="1">
        <f t="shared" si="2"/>
        <v>55</v>
      </c>
      <c r="T12" s="1">
        <f t="shared" si="3"/>
        <v>430</v>
      </c>
      <c r="U12" s="8">
        <f t="shared" si="4"/>
        <v>0.1134020618556701</v>
      </c>
      <c r="V12" s="8">
        <f t="shared" si="5"/>
        <v>0.88659793814432986</v>
      </c>
      <c r="W12" s="8">
        <f t="shared" si="6"/>
        <v>0</v>
      </c>
      <c r="X12" s="8">
        <f t="shared" si="7"/>
        <v>0</v>
      </c>
      <c r="Y12" s="8">
        <f t="shared" si="8"/>
        <v>0.1134020618556701</v>
      </c>
    </row>
    <row r="13" spans="1:25">
      <c r="A13" s="1">
        <v>10</v>
      </c>
      <c r="B13" s="22" t="s">
        <v>0</v>
      </c>
      <c r="C13" s="22" t="s">
        <v>13</v>
      </c>
      <c r="D13" s="6">
        <v>44866</v>
      </c>
      <c r="E13" s="15">
        <v>311</v>
      </c>
      <c r="F13" s="15">
        <v>801</v>
      </c>
      <c r="G13" s="1"/>
      <c r="H13" s="30">
        <v>89</v>
      </c>
      <c r="I13" s="1">
        <f t="shared" si="0"/>
        <v>89</v>
      </c>
      <c r="J13" s="7">
        <v>0</v>
      </c>
      <c r="K13" s="7">
        <v>2</v>
      </c>
      <c r="L13" s="7">
        <v>1</v>
      </c>
      <c r="M13" s="7">
        <v>0</v>
      </c>
      <c r="N13" s="7">
        <v>2</v>
      </c>
      <c r="O13" s="7">
        <v>1</v>
      </c>
      <c r="P13" s="7">
        <v>0</v>
      </c>
      <c r="Q13" s="7">
        <v>0</v>
      </c>
      <c r="R13" s="1">
        <f t="shared" si="1"/>
        <v>6</v>
      </c>
      <c r="S13" s="1">
        <f t="shared" si="2"/>
        <v>95</v>
      </c>
      <c r="T13" s="1">
        <f t="shared" si="3"/>
        <v>216</v>
      </c>
      <c r="U13" s="8">
        <f t="shared" si="4"/>
        <v>0.30546623794212219</v>
      </c>
      <c r="V13" s="8">
        <f t="shared" si="5"/>
        <v>0.69453376205787787</v>
      </c>
      <c r="W13" s="8">
        <f t="shared" si="6"/>
        <v>0</v>
      </c>
      <c r="X13" s="8">
        <f t="shared" si="7"/>
        <v>0.2861736334405145</v>
      </c>
      <c r="Y13" s="8">
        <f t="shared" si="8"/>
        <v>1.9292604501607719E-2</v>
      </c>
    </row>
    <row r="14" spans="1:25">
      <c r="A14" s="1">
        <v>11</v>
      </c>
      <c r="B14" s="22" t="s">
        <v>0</v>
      </c>
      <c r="C14" s="22" t="s">
        <v>7</v>
      </c>
      <c r="D14" s="6" t="s">
        <v>8</v>
      </c>
      <c r="E14" s="15">
        <v>190</v>
      </c>
      <c r="F14" s="15">
        <v>606</v>
      </c>
      <c r="G14" s="1"/>
      <c r="H14" s="1"/>
      <c r="I14" s="1">
        <f t="shared" si="0"/>
        <v>0</v>
      </c>
      <c r="J14" s="7">
        <v>0</v>
      </c>
      <c r="K14" s="7">
        <v>10</v>
      </c>
      <c r="L14" s="7">
        <v>8</v>
      </c>
      <c r="M14" s="7">
        <v>174</v>
      </c>
      <c r="N14" s="7">
        <v>0</v>
      </c>
      <c r="O14" s="7">
        <v>1</v>
      </c>
      <c r="P14" s="7">
        <v>1</v>
      </c>
      <c r="Q14" s="7">
        <v>0</v>
      </c>
      <c r="R14" s="1">
        <f t="shared" si="1"/>
        <v>194</v>
      </c>
      <c r="S14" s="1">
        <f t="shared" si="2"/>
        <v>194</v>
      </c>
      <c r="T14" s="30">
        <f t="shared" si="3"/>
        <v>-4</v>
      </c>
      <c r="U14" s="8">
        <f t="shared" si="4"/>
        <v>1.0210526315789474</v>
      </c>
      <c r="V14" s="8">
        <f t="shared" si="5"/>
        <v>-2.1052631578947368E-2</v>
      </c>
      <c r="W14" s="8">
        <f t="shared" si="6"/>
        <v>0</v>
      </c>
      <c r="X14" s="8">
        <f t="shared" si="7"/>
        <v>0</v>
      </c>
      <c r="Y14" s="8">
        <f t="shared" si="8"/>
        <v>1.0210526315789474</v>
      </c>
    </row>
    <row r="15" spans="1:25">
      <c r="A15" s="1">
        <v>12</v>
      </c>
      <c r="B15" s="22" t="s">
        <v>0</v>
      </c>
      <c r="C15" s="22" t="s">
        <v>17</v>
      </c>
      <c r="D15" s="6" t="s">
        <v>15</v>
      </c>
      <c r="E15" s="15">
        <v>725</v>
      </c>
      <c r="F15" s="15">
        <v>1378</v>
      </c>
      <c r="G15" s="1"/>
      <c r="H15" s="30">
        <v>18</v>
      </c>
      <c r="I15" s="1">
        <f t="shared" si="0"/>
        <v>18</v>
      </c>
      <c r="J15" s="7">
        <v>0</v>
      </c>
      <c r="K15" s="7">
        <v>78</v>
      </c>
      <c r="L15" s="7">
        <v>553</v>
      </c>
      <c r="M15" s="7">
        <v>13</v>
      </c>
      <c r="N15" s="7">
        <v>0</v>
      </c>
      <c r="O15" s="7">
        <v>2</v>
      </c>
      <c r="P15" s="7">
        <v>0</v>
      </c>
      <c r="Q15" s="7">
        <v>1</v>
      </c>
      <c r="R15" s="1">
        <f t="shared" si="1"/>
        <v>647</v>
      </c>
      <c r="S15" s="1">
        <f t="shared" si="2"/>
        <v>665</v>
      </c>
      <c r="T15" s="1">
        <f t="shared" si="3"/>
        <v>60</v>
      </c>
      <c r="U15" s="8">
        <f t="shared" si="4"/>
        <v>0.91724137931034477</v>
      </c>
      <c r="V15" s="8">
        <f t="shared" si="5"/>
        <v>8.2758620689655171E-2</v>
      </c>
      <c r="W15" s="8">
        <f t="shared" si="6"/>
        <v>0</v>
      </c>
      <c r="X15" s="8">
        <f t="shared" si="7"/>
        <v>2.4827586206896551E-2</v>
      </c>
      <c r="Y15" s="8">
        <f t="shared" si="8"/>
        <v>0.89241379310344826</v>
      </c>
    </row>
    <row r="16" spans="1:25">
      <c r="A16" s="1">
        <v>13</v>
      </c>
      <c r="B16" s="22" t="s">
        <v>0</v>
      </c>
      <c r="C16" s="22" t="s">
        <v>2</v>
      </c>
      <c r="D16" s="6" t="s">
        <v>3</v>
      </c>
      <c r="E16" s="15">
        <v>483</v>
      </c>
      <c r="F16" s="15">
        <v>1878</v>
      </c>
      <c r="G16" s="30">
        <v>79</v>
      </c>
      <c r="H16" s="1"/>
      <c r="I16" s="1">
        <f t="shared" si="0"/>
        <v>79</v>
      </c>
      <c r="J16" s="7">
        <v>2</v>
      </c>
      <c r="K16" s="7">
        <v>40</v>
      </c>
      <c r="L16" s="7">
        <v>0</v>
      </c>
      <c r="M16" s="7">
        <v>315</v>
      </c>
      <c r="N16" s="7">
        <v>0</v>
      </c>
      <c r="O16" s="7">
        <v>11</v>
      </c>
      <c r="P16" s="7">
        <v>1</v>
      </c>
      <c r="Q16" s="7">
        <v>2</v>
      </c>
      <c r="R16" s="1">
        <f t="shared" si="1"/>
        <v>371</v>
      </c>
      <c r="S16" s="1">
        <f t="shared" si="2"/>
        <v>450</v>
      </c>
      <c r="T16" s="1">
        <f t="shared" si="3"/>
        <v>33</v>
      </c>
      <c r="U16" s="8">
        <f t="shared" si="4"/>
        <v>0.93167701863354035</v>
      </c>
      <c r="V16" s="8">
        <f t="shared" si="5"/>
        <v>6.8322981366459631E-2</v>
      </c>
      <c r="W16" s="8">
        <f t="shared" si="6"/>
        <v>0.16356107660455488</v>
      </c>
      <c r="X16" s="8">
        <f t="shared" si="7"/>
        <v>0.16356107660455488</v>
      </c>
      <c r="Y16" s="8">
        <f t="shared" si="8"/>
        <v>0.76811594202898548</v>
      </c>
    </row>
    <row r="17" spans="1:25">
      <c r="A17" s="1">
        <v>14</v>
      </c>
      <c r="B17" s="22" t="s">
        <v>30</v>
      </c>
      <c r="C17" s="23" t="s">
        <v>44</v>
      </c>
      <c r="D17" s="6"/>
      <c r="E17" s="15">
        <v>5750</v>
      </c>
      <c r="F17" s="15">
        <v>16468</v>
      </c>
      <c r="G17" s="110">
        <f>400+150</f>
        <v>550</v>
      </c>
      <c r="H17" s="1"/>
      <c r="I17" s="1">
        <f t="shared" ref="I17" si="9">H17+G17</f>
        <v>550</v>
      </c>
      <c r="J17" s="7">
        <v>0</v>
      </c>
      <c r="K17" s="7">
        <v>0</v>
      </c>
      <c r="L17" s="7">
        <v>0</v>
      </c>
      <c r="M17" s="7">
        <v>0</v>
      </c>
      <c r="N17" s="16">
        <v>576</v>
      </c>
      <c r="O17" s="7">
        <v>0</v>
      </c>
      <c r="P17" s="7">
        <v>0</v>
      </c>
      <c r="Q17" s="7">
        <v>0</v>
      </c>
      <c r="R17" s="1">
        <f t="shared" si="1"/>
        <v>576</v>
      </c>
      <c r="S17" s="1">
        <f t="shared" si="2"/>
        <v>1126</v>
      </c>
      <c r="T17" s="1">
        <f t="shared" si="3"/>
        <v>4624</v>
      </c>
      <c r="U17" s="8">
        <f t="shared" si="4"/>
        <v>0.19582608695652173</v>
      </c>
      <c r="V17" s="8">
        <f t="shared" si="5"/>
        <v>0.80417391304347829</v>
      </c>
      <c r="W17" s="8">
        <f t="shared" si="6"/>
        <v>9.5652173913043481E-2</v>
      </c>
      <c r="X17" s="8">
        <f t="shared" si="7"/>
        <v>9.5652173913043481E-2</v>
      </c>
      <c r="Y17" s="8">
        <f t="shared" si="8"/>
        <v>0.10017391304347827</v>
      </c>
    </row>
    <row r="18" spans="1:25">
      <c r="A18" s="1">
        <v>15</v>
      </c>
      <c r="B18" s="22" t="s">
        <v>30</v>
      </c>
      <c r="C18" s="23" t="s">
        <v>32</v>
      </c>
      <c r="D18" s="6">
        <v>44866</v>
      </c>
      <c r="E18" s="15">
        <v>540</v>
      </c>
      <c r="F18" s="15">
        <v>1554</v>
      </c>
      <c r="G18" s="1"/>
      <c r="H18" s="1"/>
      <c r="I18" s="1">
        <f t="shared" ref="I18:I25" si="10">H18+G18</f>
        <v>0</v>
      </c>
      <c r="J18" s="7">
        <v>3</v>
      </c>
      <c r="K18" s="7">
        <v>80</v>
      </c>
      <c r="L18" s="7">
        <v>0</v>
      </c>
      <c r="M18" s="7">
        <v>0</v>
      </c>
      <c r="N18" s="7">
        <v>0</v>
      </c>
      <c r="O18" s="7">
        <v>1</v>
      </c>
      <c r="P18" s="7">
        <v>10</v>
      </c>
      <c r="Q18" s="7">
        <v>0</v>
      </c>
      <c r="R18" s="1">
        <f t="shared" ref="R18:R25" si="11">SUM(J18:Q18)</f>
        <v>94</v>
      </c>
      <c r="S18" s="1">
        <f t="shared" si="2"/>
        <v>94</v>
      </c>
      <c r="T18" s="1">
        <f t="shared" si="3"/>
        <v>446</v>
      </c>
      <c r="U18" s="8">
        <f t="shared" si="4"/>
        <v>0.17407407407407408</v>
      </c>
      <c r="V18" s="8">
        <f t="shared" si="5"/>
        <v>0.82592592592592595</v>
      </c>
      <c r="W18" s="8">
        <f t="shared" si="6"/>
        <v>0</v>
      </c>
      <c r="X18" s="8">
        <f t="shared" si="7"/>
        <v>0</v>
      </c>
      <c r="Y18" s="8">
        <f t="shared" si="8"/>
        <v>0.17407407407407408</v>
      </c>
    </row>
    <row r="19" spans="1:25">
      <c r="A19" s="1">
        <v>16</v>
      </c>
      <c r="B19" s="22" t="s">
        <v>30</v>
      </c>
      <c r="C19" s="23" t="s">
        <v>36</v>
      </c>
      <c r="D19" s="6">
        <v>44565</v>
      </c>
      <c r="E19" s="15">
        <v>274</v>
      </c>
      <c r="F19" s="15">
        <v>835</v>
      </c>
      <c r="G19" s="1"/>
      <c r="H19" s="1"/>
      <c r="I19" s="1">
        <f t="shared" si="10"/>
        <v>0</v>
      </c>
      <c r="J19" s="7">
        <v>7</v>
      </c>
      <c r="K19" s="7">
        <v>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1">
        <f t="shared" si="11"/>
        <v>10</v>
      </c>
      <c r="S19" s="1">
        <f t="shared" si="2"/>
        <v>10</v>
      </c>
      <c r="T19" s="1">
        <f t="shared" si="3"/>
        <v>264</v>
      </c>
      <c r="U19" s="8">
        <f t="shared" si="4"/>
        <v>3.6496350364963501E-2</v>
      </c>
      <c r="V19" s="8">
        <f t="shared" si="5"/>
        <v>0.96350364963503654</v>
      </c>
      <c r="W19" s="8">
        <f t="shared" si="6"/>
        <v>0</v>
      </c>
      <c r="X19" s="8">
        <f t="shared" si="7"/>
        <v>0</v>
      </c>
      <c r="Y19" s="8">
        <f t="shared" si="8"/>
        <v>3.6496350364963501E-2</v>
      </c>
    </row>
    <row r="20" spans="1:25">
      <c r="A20" s="1">
        <v>17</v>
      </c>
      <c r="B20" s="22" t="s">
        <v>30</v>
      </c>
      <c r="C20" s="23" t="s">
        <v>33</v>
      </c>
      <c r="D20" s="6">
        <v>44866</v>
      </c>
      <c r="E20" s="15">
        <v>411</v>
      </c>
      <c r="F20" s="15">
        <v>1316</v>
      </c>
      <c r="G20" s="1"/>
      <c r="H20" s="1"/>
      <c r="I20" s="1">
        <f t="shared" si="10"/>
        <v>0</v>
      </c>
      <c r="J20" s="7">
        <v>3</v>
      </c>
      <c r="K20" s="7">
        <v>202</v>
      </c>
      <c r="L20" s="7">
        <v>0</v>
      </c>
      <c r="M20" s="7">
        <v>0</v>
      </c>
      <c r="N20" s="7">
        <v>0</v>
      </c>
      <c r="O20" s="7">
        <v>0</v>
      </c>
      <c r="P20" s="7">
        <v>8</v>
      </c>
      <c r="Q20" s="7">
        <v>0</v>
      </c>
      <c r="R20" s="1">
        <f t="shared" si="11"/>
        <v>213</v>
      </c>
      <c r="S20" s="1">
        <f t="shared" si="2"/>
        <v>213</v>
      </c>
      <c r="T20" s="1">
        <f t="shared" si="3"/>
        <v>198</v>
      </c>
      <c r="U20" s="8">
        <f t="shared" si="4"/>
        <v>0.51824817518248179</v>
      </c>
      <c r="V20" s="8">
        <f t="shared" si="5"/>
        <v>0.48175182481751827</v>
      </c>
      <c r="W20" s="8">
        <f t="shared" si="6"/>
        <v>0</v>
      </c>
      <c r="X20" s="8">
        <f t="shared" si="7"/>
        <v>0</v>
      </c>
      <c r="Y20" s="8">
        <f t="shared" si="8"/>
        <v>0.51824817518248179</v>
      </c>
    </row>
    <row r="21" spans="1:25">
      <c r="A21" s="1">
        <v>18</v>
      </c>
      <c r="B21" s="22" t="s">
        <v>30</v>
      </c>
      <c r="C21" s="23" t="s">
        <v>37</v>
      </c>
      <c r="D21" s="6" t="s">
        <v>38</v>
      </c>
      <c r="E21" s="15">
        <v>42</v>
      </c>
      <c r="F21" s="15">
        <v>130</v>
      </c>
      <c r="G21" s="1"/>
      <c r="H21" s="1"/>
      <c r="I21" s="1">
        <f t="shared" si="10"/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1">
        <f t="shared" si="11"/>
        <v>1</v>
      </c>
      <c r="S21" s="1">
        <f t="shared" si="2"/>
        <v>1</v>
      </c>
      <c r="T21" s="1">
        <f t="shared" si="3"/>
        <v>41</v>
      </c>
      <c r="U21" s="8">
        <f t="shared" si="4"/>
        <v>2.3809523809523808E-2</v>
      </c>
      <c r="V21" s="8">
        <f t="shared" si="5"/>
        <v>0.97619047619047616</v>
      </c>
      <c r="W21" s="8">
        <f t="shared" si="6"/>
        <v>0</v>
      </c>
      <c r="X21" s="8">
        <f t="shared" si="7"/>
        <v>0</v>
      </c>
      <c r="Y21" s="8">
        <f t="shared" si="8"/>
        <v>2.3809523809523808E-2</v>
      </c>
    </row>
    <row r="22" spans="1:25">
      <c r="A22" s="1">
        <v>19</v>
      </c>
      <c r="B22" s="22" t="s">
        <v>30</v>
      </c>
      <c r="C22" s="23" t="s">
        <v>39</v>
      </c>
      <c r="D22" s="6" t="s">
        <v>40</v>
      </c>
      <c r="E22" s="15">
        <v>77</v>
      </c>
      <c r="F22" s="15">
        <v>206</v>
      </c>
      <c r="G22" s="1"/>
      <c r="H22" s="1"/>
      <c r="I22" s="1">
        <f t="shared" si="10"/>
        <v>0</v>
      </c>
      <c r="J22" s="7">
        <v>0</v>
      </c>
      <c r="K22" s="7">
        <v>0</v>
      </c>
      <c r="L22" s="7">
        <v>0</v>
      </c>
      <c r="M22" s="7">
        <v>0</v>
      </c>
      <c r="N22" s="7">
        <v>11</v>
      </c>
      <c r="O22" s="7">
        <v>0</v>
      </c>
      <c r="P22" s="7">
        <v>2</v>
      </c>
      <c r="Q22" s="7">
        <v>2</v>
      </c>
      <c r="R22" s="1">
        <f t="shared" si="11"/>
        <v>15</v>
      </c>
      <c r="S22" s="1">
        <f t="shared" si="2"/>
        <v>15</v>
      </c>
      <c r="T22" s="1">
        <f t="shared" si="3"/>
        <v>62</v>
      </c>
      <c r="U22" s="8">
        <f t="shared" si="4"/>
        <v>0.19480519480519481</v>
      </c>
      <c r="V22" s="8">
        <f t="shared" si="5"/>
        <v>0.80519480519480524</v>
      </c>
      <c r="W22" s="8">
        <f t="shared" si="6"/>
        <v>0</v>
      </c>
      <c r="X22" s="8">
        <f t="shared" si="7"/>
        <v>0</v>
      </c>
      <c r="Y22" s="8">
        <f t="shared" si="8"/>
        <v>0.19480519480519481</v>
      </c>
    </row>
    <row r="23" spans="1:25">
      <c r="A23" s="1">
        <v>20</v>
      </c>
      <c r="B23" s="22" t="s">
        <v>30</v>
      </c>
      <c r="C23" s="23" t="s">
        <v>31</v>
      </c>
      <c r="D23" s="6">
        <v>44718</v>
      </c>
      <c r="E23" s="15">
        <v>304</v>
      </c>
      <c r="F23" s="15">
        <v>915</v>
      </c>
      <c r="G23" s="1"/>
      <c r="H23" s="1"/>
      <c r="I23" s="1">
        <f t="shared" si="10"/>
        <v>0</v>
      </c>
      <c r="J23" s="7">
        <v>6</v>
      </c>
      <c r="K23" s="7">
        <v>0</v>
      </c>
      <c r="L23" s="7">
        <v>0</v>
      </c>
      <c r="M23" s="7">
        <v>0</v>
      </c>
      <c r="N23" s="16">
        <v>55</v>
      </c>
      <c r="O23" s="7">
        <v>0</v>
      </c>
      <c r="P23" s="7">
        <v>1</v>
      </c>
      <c r="Q23" s="7">
        <v>1</v>
      </c>
      <c r="R23" s="1">
        <f t="shared" si="11"/>
        <v>63</v>
      </c>
      <c r="S23" s="1">
        <f t="shared" si="2"/>
        <v>63</v>
      </c>
      <c r="T23" s="1">
        <f t="shared" si="3"/>
        <v>241</v>
      </c>
      <c r="U23" s="8">
        <f t="shared" si="4"/>
        <v>0.20723684210526316</v>
      </c>
      <c r="V23" s="8">
        <f t="shared" si="5"/>
        <v>0.79276315789473684</v>
      </c>
      <c r="W23" s="8">
        <f t="shared" si="6"/>
        <v>0</v>
      </c>
      <c r="X23" s="8">
        <f t="shared" si="7"/>
        <v>0</v>
      </c>
      <c r="Y23" s="8">
        <f t="shared" si="8"/>
        <v>0.20723684210526316</v>
      </c>
    </row>
    <row r="24" spans="1:25">
      <c r="A24" s="1">
        <v>21</v>
      </c>
      <c r="B24" s="22" t="s">
        <v>30</v>
      </c>
      <c r="C24" s="23" t="s">
        <v>41</v>
      </c>
      <c r="D24" s="6" t="s">
        <v>42</v>
      </c>
      <c r="E24" s="15">
        <v>1046</v>
      </c>
      <c r="F24" s="15">
        <v>3241</v>
      </c>
      <c r="G24" s="1"/>
      <c r="H24" s="1"/>
      <c r="I24" s="1">
        <f t="shared" si="10"/>
        <v>0</v>
      </c>
      <c r="J24" s="7">
        <v>13</v>
      </c>
      <c r="K24" s="7">
        <v>354</v>
      </c>
      <c r="L24" s="7">
        <v>0</v>
      </c>
      <c r="M24" s="7">
        <v>0</v>
      </c>
      <c r="N24" s="7">
        <v>2</v>
      </c>
      <c r="O24" s="7">
        <v>0</v>
      </c>
      <c r="P24" s="7">
        <v>0</v>
      </c>
      <c r="Q24" s="7">
        <v>0</v>
      </c>
      <c r="R24" s="1">
        <f t="shared" si="11"/>
        <v>369</v>
      </c>
      <c r="S24" s="1">
        <f t="shared" si="2"/>
        <v>369</v>
      </c>
      <c r="T24" s="1">
        <f t="shared" si="3"/>
        <v>677</v>
      </c>
      <c r="U24" s="8">
        <f t="shared" si="4"/>
        <v>0.35277246653919692</v>
      </c>
      <c r="V24" s="8">
        <f t="shared" si="5"/>
        <v>0.64722753346080308</v>
      </c>
      <c r="W24" s="8">
        <f t="shared" si="6"/>
        <v>0</v>
      </c>
      <c r="X24" s="8">
        <f t="shared" si="7"/>
        <v>0</v>
      </c>
      <c r="Y24" s="8">
        <f t="shared" si="8"/>
        <v>0.35277246653919692</v>
      </c>
    </row>
    <row r="25" spans="1:25">
      <c r="A25" s="1">
        <v>22</v>
      </c>
      <c r="B25" s="22" t="s">
        <v>30</v>
      </c>
      <c r="C25" s="23" t="s">
        <v>34</v>
      </c>
      <c r="D25" s="6" t="s">
        <v>35</v>
      </c>
      <c r="E25" s="15">
        <v>821</v>
      </c>
      <c r="F25" s="15">
        <v>2379</v>
      </c>
      <c r="G25" s="1"/>
      <c r="H25" s="1"/>
      <c r="I25" s="1">
        <f t="shared" si="10"/>
        <v>0</v>
      </c>
      <c r="J25" s="7">
        <v>0</v>
      </c>
      <c r="K25" s="7">
        <v>465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3</v>
      </c>
      <c r="R25" s="1">
        <f t="shared" si="11"/>
        <v>468</v>
      </c>
      <c r="S25" s="1">
        <f t="shared" si="2"/>
        <v>468</v>
      </c>
      <c r="T25" s="1">
        <f t="shared" si="3"/>
        <v>353</v>
      </c>
      <c r="U25" s="8">
        <f t="shared" si="4"/>
        <v>0.57003654080389765</v>
      </c>
      <c r="V25" s="8">
        <f t="shared" si="5"/>
        <v>0.42996345919610229</v>
      </c>
      <c r="W25" s="8">
        <f t="shared" si="6"/>
        <v>0</v>
      </c>
      <c r="X25" s="8">
        <f t="shared" si="7"/>
        <v>0</v>
      </c>
      <c r="Y25" s="8">
        <f t="shared" si="8"/>
        <v>0.57003654080389765</v>
      </c>
    </row>
    <row r="26" spans="1:25">
      <c r="A26" s="1">
        <v>23</v>
      </c>
      <c r="B26" s="22" t="s">
        <v>45</v>
      </c>
      <c r="C26" s="22" t="s">
        <v>56</v>
      </c>
      <c r="D26" s="6" t="s">
        <v>57</v>
      </c>
      <c r="E26" s="15">
        <v>535</v>
      </c>
      <c r="F26" s="15">
        <v>1640</v>
      </c>
      <c r="G26" s="1"/>
      <c r="H26" s="30">
        <v>40</v>
      </c>
      <c r="I26" s="7">
        <f t="shared" ref="I26:I87" si="12">H26+G26</f>
        <v>40</v>
      </c>
      <c r="J26" s="7">
        <v>0</v>
      </c>
      <c r="K26" s="7">
        <v>0</v>
      </c>
      <c r="L26" s="7">
        <v>0</v>
      </c>
      <c r="M26" s="17">
        <v>2700</v>
      </c>
      <c r="N26" s="7">
        <v>0</v>
      </c>
      <c r="O26" s="7">
        <v>0</v>
      </c>
      <c r="P26" s="7">
        <v>0</v>
      </c>
      <c r="Q26" s="7">
        <v>0</v>
      </c>
      <c r="R26" s="1">
        <f t="shared" ref="R26:R38" si="13">SUM(J26:Q26)</f>
        <v>2700</v>
      </c>
      <c r="S26" s="7">
        <f t="shared" si="2"/>
        <v>2740</v>
      </c>
      <c r="T26" s="31">
        <f t="shared" si="3"/>
        <v>-2205</v>
      </c>
      <c r="U26" s="8">
        <f t="shared" si="4"/>
        <v>5.1214953271028039</v>
      </c>
      <c r="V26" s="8">
        <f t="shared" si="5"/>
        <v>-4.1214953271028039</v>
      </c>
      <c r="W26" s="8">
        <v>1.0344827586206896E-2</v>
      </c>
      <c r="X26" s="8">
        <f t="shared" si="7"/>
        <v>7.476635514018691E-2</v>
      </c>
      <c r="Y26" s="8">
        <f t="shared" si="8"/>
        <v>5.0467289719626169</v>
      </c>
    </row>
    <row r="27" spans="1:25">
      <c r="A27" s="1">
        <v>24</v>
      </c>
      <c r="B27" s="22" t="s">
        <v>45</v>
      </c>
      <c r="C27" s="22" t="s">
        <v>60</v>
      </c>
      <c r="D27" s="6" t="s">
        <v>61</v>
      </c>
      <c r="E27" s="15">
        <v>1101</v>
      </c>
      <c r="F27" s="15">
        <v>3286</v>
      </c>
      <c r="G27" s="110">
        <v>651</v>
      </c>
      <c r="H27" s="1"/>
      <c r="I27" s="7">
        <f t="shared" si="12"/>
        <v>651</v>
      </c>
      <c r="J27" s="7">
        <v>0</v>
      </c>
      <c r="K27" s="7">
        <v>300</v>
      </c>
      <c r="L27" s="7">
        <v>0</v>
      </c>
      <c r="M27" s="7">
        <v>0</v>
      </c>
      <c r="N27" s="7">
        <v>0</v>
      </c>
      <c r="O27" s="7">
        <v>12</v>
      </c>
      <c r="P27" s="7">
        <v>0</v>
      </c>
      <c r="Q27" s="7">
        <v>0</v>
      </c>
      <c r="R27" s="1">
        <f t="shared" si="13"/>
        <v>312</v>
      </c>
      <c r="S27" s="7">
        <f t="shared" si="2"/>
        <v>963</v>
      </c>
      <c r="T27" s="10">
        <f t="shared" si="3"/>
        <v>138</v>
      </c>
      <c r="U27" s="8">
        <f t="shared" si="4"/>
        <v>0.87465940054495916</v>
      </c>
      <c r="V27" s="8">
        <f t="shared" si="5"/>
        <v>0.12534059945504086</v>
      </c>
      <c r="W27" s="8">
        <v>0.74784482758620685</v>
      </c>
      <c r="X27" s="8">
        <f t="shared" si="7"/>
        <v>0.59128065395095364</v>
      </c>
      <c r="Y27" s="8">
        <f t="shared" si="8"/>
        <v>0.28337874659400547</v>
      </c>
    </row>
    <row r="28" spans="1:25">
      <c r="A28" s="1">
        <v>25</v>
      </c>
      <c r="B28" s="22" t="s">
        <v>45</v>
      </c>
      <c r="C28" s="22" t="s">
        <v>58</v>
      </c>
      <c r="D28" s="6">
        <v>44653</v>
      </c>
      <c r="E28" s="15">
        <v>494</v>
      </c>
      <c r="F28" s="15">
        <v>1497</v>
      </c>
      <c r="G28" s="1"/>
      <c r="H28" s="1"/>
      <c r="I28" s="7">
        <f t="shared" si="12"/>
        <v>0</v>
      </c>
      <c r="J28" s="7">
        <v>25</v>
      </c>
      <c r="K28" s="18">
        <v>452</v>
      </c>
      <c r="L28" s="7">
        <v>0</v>
      </c>
      <c r="M28" s="18">
        <v>365</v>
      </c>
      <c r="N28" s="7">
        <v>2</v>
      </c>
      <c r="O28" s="7">
        <v>0</v>
      </c>
      <c r="P28" s="7">
        <v>0</v>
      </c>
      <c r="Q28" s="7">
        <v>0</v>
      </c>
      <c r="R28" s="1">
        <f t="shared" si="13"/>
        <v>844</v>
      </c>
      <c r="S28" s="7">
        <f t="shared" si="2"/>
        <v>844</v>
      </c>
      <c r="T28" s="31">
        <f t="shared" si="3"/>
        <v>-350</v>
      </c>
      <c r="U28" s="8">
        <f t="shared" si="4"/>
        <v>1.7085020242914979</v>
      </c>
      <c r="V28" s="8">
        <f t="shared" si="5"/>
        <v>-0.708502024291498</v>
      </c>
      <c r="W28" s="8">
        <v>0.78025477707006374</v>
      </c>
      <c r="X28" s="8">
        <f t="shared" si="7"/>
        <v>0</v>
      </c>
      <c r="Y28" s="8">
        <f t="shared" si="8"/>
        <v>1.7085020242914979</v>
      </c>
    </row>
    <row r="29" spans="1:25">
      <c r="A29" s="1">
        <v>26</v>
      </c>
      <c r="B29" s="22" t="s">
        <v>45</v>
      </c>
      <c r="C29" s="22" t="s">
        <v>53</v>
      </c>
      <c r="D29" s="6">
        <v>44896</v>
      </c>
      <c r="E29" s="15">
        <v>713</v>
      </c>
      <c r="F29" s="15">
        <v>2199</v>
      </c>
      <c r="G29" s="1"/>
      <c r="H29" s="30">
        <v>351</v>
      </c>
      <c r="I29" s="7">
        <f t="shared" si="12"/>
        <v>351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</v>
      </c>
      <c r="P29" s="7">
        <v>0</v>
      </c>
      <c r="Q29" s="7">
        <v>0</v>
      </c>
      <c r="R29" s="1">
        <f t="shared" si="13"/>
        <v>5</v>
      </c>
      <c r="S29" s="7">
        <f t="shared" si="2"/>
        <v>356</v>
      </c>
      <c r="T29" s="10">
        <f t="shared" si="3"/>
        <v>357</v>
      </c>
      <c r="U29" s="8">
        <f t="shared" si="4"/>
        <v>0.49929873772791022</v>
      </c>
      <c r="V29" s="8">
        <f t="shared" si="5"/>
        <v>0.50070126227208978</v>
      </c>
      <c r="W29" s="8">
        <v>0.57006252298639204</v>
      </c>
      <c r="X29" s="8">
        <f t="shared" si="7"/>
        <v>0.49228611500701264</v>
      </c>
      <c r="Y29" s="8">
        <f t="shared" si="8"/>
        <v>7.0126227208976155E-3</v>
      </c>
    </row>
    <row r="30" spans="1:25">
      <c r="A30" s="1">
        <v>27</v>
      </c>
      <c r="B30" s="22" t="s">
        <v>45</v>
      </c>
      <c r="C30" s="22" t="s">
        <v>59</v>
      </c>
      <c r="D30" s="6">
        <v>44621</v>
      </c>
      <c r="E30" s="15">
        <v>415</v>
      </c>
      <c r="F30" s="15">
        <v>1294</v>
      </c>
      <c r="G30" s="110">
        <v>327</v>
      </c>
      <c r="H30" s="1"/>
      <c r="I30" s="7">
        <f t="shared" si="12"/>
        <v>327</v>
      </c>
      <c r="J30" s="7">
        <v>0</v>
      </c>
      <c r="K30" s="7">
        <v>15</v>
      </c>
      <c r="L30" s="7">
        <v>0</v>
      </c>
      <c r="M30" s="7">
        <v>0</v>
      </c>
      <c r="N30" s="7">
        <v>0</v>
      </c>
      <c r="O30" s="7">
        <v>5</v>
      </c>
      <c r="P30" s="7">
        <v>0</v>
      </c>
      <c r="Q30" s="7">
        <v>0</v>
      </c>
      <c r="R30" s="1">
        <f t="shared" si="13"/>
        <v>20</v>
      </c>
      <c r="S30" s="7">
        <f t="shared" si="2"/>
        <v>347</v>
      </c>
      <c r="T30" s="10">
        <f t="shared" si="3"/>
        <v>68</v>
      </c>
      <c r="U30" s="8">
        <f t="shared" si="4"/>
        <v>0.83614457831325306</v>
      </c>
      <c r="V30" s="8">
        <f t="shared" si="5"/>
        <v>0.16385542168674699</v>
      </c>
      <c r="W30" s="8">
        <v>5.46875E-2</v>
      </c>
      <c r="X30" s="8">
        <f t="shared" si="7"/>
        <v>0.78795180722891567</v>
      </c>
      <c r="Y30" s="8">
        <f t="shared" si="8"/>
        <v>4.8192771084337352E-2</v>
      </c>
    </row>
    <row r="31" spans="1:25">
      <c r="A31" s="1">
        <v>28</v>
      </c>
      <c r="B31" s="22" t="s">
        <v>45</v>
      </c>
      <c r="C31" s="22" t="s">
        <v>45</v>
      </c>
      <c r="D31" s="6" t="s">
        <v>47</v>
      </c>
      <c r="E31" s="15">
        <v>1962</v>
      </c>
      <c r="F31" s="15">
        <v>6093</v>
      </c>
      <c r="G31" s="110">
        <v>1333</v>
      </c>
      <c r="H31" s="1"/>
      <c r="I31" s="7">
        <f t="shared" si="12"/>
        <v>1333</v>
      </c>
      <c r="J31" s="7">
        <v>0</v>
      </c>
      <c r="K31" s="7">
        <v>44</v>
      </c>
      <c r="L31" s="7">
        <v>5</v>
      </c>
      <c r="M31" s="7">
        <v>0</v>
      </c>
      <c r="N31" s="7">
        <v>1</v>
      </c>
      <c r="O31" s="7">
        <v>1</v>
      </c>
      <c r="P31" s="7">
        <v>43</v>
      </c>
      <c r="Q31" s="7">
        <v>1</v>
      </c>
      <c r="R31" s="1">
        <f t="shared" si="13"/>
        <v>95</v>
      </c>
      <c r="S31" s="7">
        <f t="shared" si="2"/>
        <v>1428</v>
      </c>
      <c r="T31" s="10">
        <f t="shared" si="3"/>
        <v>534</v>
      </c>
      <c r="U31" s="8">
        <f t="shared" si="4"/>
        <v>0.72782874617737003</v>
      </c>
      <c r="V31" s="8">
        <f t="shared" si="5"/>
        <v>0.27217125382262997</v>
      </c>
      <c r="W31" s="8">
        <v>0.48828125</v>
      </c>
      <c r="X31" s="8">
        <f t="shared" si="7"/>
        <v>0.67940876656472982</v>
      </c>
      <c r="Y31" s="8">
        <f t="shared" si="8"/>
        <v>4.8419979612640163E-2</v>
      </c>
    </row>
    <row r="32" spans="1:25">
      <c r="A32" s="1">
        <v>29</v>
      </c>
      <c r="B32" s="22" t="s">
        <v>45</v>
      </c>
      <c r="C32" s="22" t="s">
        <v>46</v>
      </c>
      <c r="D32" s="6">
        <v>44899</v>
      </c>
      <c r="E32" s="15">
        <v>447</v>
      </c>
      <c r="F32" s="15">
        <v>1378</v>
      </c>
      <c r="G32" s="110">
        <v>149</v>
      </c>
      <c r="H32" s="1"/>
      <c r="I32" s="7">
        <f t="shared" si="12"/>
        <v>149</v>
      </c>
      <c r="J32" s="7">
        <v>0</v>
      </c>
      <c r="K32" s="7">
        <v>99</v>
      </c>
      <c r="L32" s="7">
        <v>0</v>
      </c>
      <c r="M32" s="7">
        <v>18</v>
      </c>
      <c r="N32" s="7">
        <v>0</v>
      </c>
      <c r="O32" s="7">
        <v>5</v>
      </c>
      <c r="P32" s="7">
        <v>2</v>
      </c>
      <c r="Q32" s="7">
        <v>0</v>
      </c>
      <c r="R32" s="1">
        <f t="shared" si="13"/>
        <v>124</v>
      </c>
      <c r="S32" s="7">
        <f t="shared" si="2"/>
        <v>273</v>
      </c>
      <c r="T32" s="10">
        <f t="shared" si="3"/>
        <v>174</v>
      </c>
      <c r="U32" s="8">
        <f t="shared" si="4"/>
        <v>0.61073825503355705</v>
      </c>
      <c r="V32" s="8">
        <f t="shared" si="5"/>
        <v>0.38926174496644295</v>
      </c>
      <c r="W32" s="8">
        <v>0.82657613967022303</v>
      </c>
      <c r="X32" s="8">
        <f t="shared" si="7"/>
        <v>0.33333333333333331</v>
      </c>
      <c r="Y32" s="8">
        <f t="shared" si="8"/>
        <v>0.27740492170022374</v>
      </c>
    </row>
    <row r="33" spans="1:25">
      <c r="A33" s="1">
        <v>30</v>
      </c>
      <c r="B33" s="22" t="s">
        <v>45</v>
      </c>
      <c r="C33" s="22" t="s">
        <v>49</v>
      </c>
      <c r="D33" s="6" t="s">
        <v>50</v>
      </c>
      <c r="E33" s="15">
        <v>683</v>
      </c>
      <c r="F33" s="15">
        <v>2066</v>
      </c>
      <c r="G33" s="30">
        <v>36</v>
      </c>
      <c r="H33" s="1"/>
      <c r="I33" s="7">
        <f t="shared" si="12"/>
        <v>36</v>
      </c>
      <c r="J33" s="7">
        <v>165</v>
      </c>
      <c r="K33" s="7">
        <v>235</v>
      </c>
      <c r="L33" s="7">
        <v>0</v>
      </c>
      <c r="M33" s="7">
        <v>0</v>
      </c>
      <c r="N33" s="7">
        <v>1</v>
      </c>
      <c r="O33" s="7">
        <v>0</v>
      </c>
      <c r="P33" s="7">
        <v>5</v>
      </c>
      <c r="Q33" s="7">
        <v>0</v>
      </c>
      <c r="R33" s="1">
        <f t="shared" si="13"/>
        <v>406</v>
      </c>
      <c r="S33" s="7">
        <f t="shared" si="2"/>
        <v>442</v>
      </c>
      <c r="T33" s="10">
        <f t="shared" si="3"/>
        <v>241</v>
      </c>
      <c r="U33" s="8">
        <f t="shared" si="4"/>
        <v>0.64714494875549045</v>
      </c>
      <c r="V33" s="8">
        <f t="shared" si="5"/>
        <v>0.3528550512445095</v>
      </c>
      <c r="W33" s="8">
        <v>0.70797831138652212</v>
      </c>
      <c r="X33" s="8">
        <f t="shared" si="7"/>
        <v>5.2708638360175697E-2</v>
      </c>
      <c r="Y33" s="8">
        <f t="shared" si="8"/>
        <v>0.59443631039531475</v>
      </c>
    </row>
    <row r="34" spans="1:25">
      <c r="A34" s="1">
        <v>31</v>
      </c>
      <c r="B34" s="22" t="s">
        <v>45</v>
      </c>
      <c r="C34" s="22" t="s">
        <v>54</v>
      </c>
      <c r="D34" s="6" t="s">
        <v>55</v>
      </c>
      <c r="E34" s="15">
        <v>694</v>
      </c>
      <c r="F34" s="15">
        <v>2080</v>
      </c>
      <c r="G34" s="1"/>
      <c r="H34" s="30">
        <v>495</v>
      </c>
      <c r="I34" s="7">
        <f t="shared" si="12"/>
        <v>495</v>
      </c>
      <c r="J34" s="7">
        <v>0</v>
      </c>
      <c r="K34" s="7">
        <v>5</v>
      </c>
      <c r="L34" s="7">
        <v>0</v>
      </c>
      <c r="M34" s="7">
        <v>0</v>
      </c>
      <c r="N34" s="7">
        <v>4</v>
      </c>
      <c r="O34" s="7">
        <v>2</v>
      </c>
      <c r="P34" s="7">
        <v>0</v>
      </c>
      <c r="Q34" s="7">
        <v>1</v>
      </c>
      <c r="R34" s="1">
        <f t="shared" si="13"/>
        <v>12</v>
      </c>
      <c r="S34" s="7">
        <f t="shared" si="2"/>
        <v>507</v>
      </c>
      <c r="T34" s="10">
        <f t="shared" si="3"/>
        <v>187</v>
      </c>
      <c r="U34" s="8">
        <f t="shared" si="4"/>
        <v>0.7305475504322767</v>
      </c>
      <c r="V34" s="8">
        <f t="shared" si="5"/>
        <v>0.26945244956772335</v>
      </c>
      <c r="W34" s="8">
        <v>0.83697813121272369</v>
      </c>
      <c r="X34" s="8">
        <f t="shared" si="7"/>
        <v>0.71325648414985587</v>
      </c>
      <c r="Y34" s="8">
        <f t="shared" si="8"/>
        <v>1.7291066282420751E-2</v>
      </c>
    </row>
    <row r="35" spans="1:25">
      <c r="A35" s="1">
        <v>32</v>
      </c>
      <c r="B35" s="22" t="s">
        <v>45</v>
      </c>
      <c r="C35" s="22" t="s">
        <v>51</v>
      </c>
      <c r="D35" s="6">
        <v>44621</v>
      </c>
      <c r="E35" s="15">
        <v>973</v>
      </c>
      <c r="F35" s="15">
        <v>3134</v>
      </c>
      <c r="G35" s="1"/>
      <c r="H35" s="1"/>
      <c r="I35" s="7">
        <f t="shared" si="12"/>
        <v>0</v>
      </c>
      <c r="J35" s="7">
        <v>500</v>
      </c>
      <c r="K35" s="7">
        <v>60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">
        <f t="shared" si="13"/>
        <v>560</v>
      </c>
      <c r="S35" s="7">
        <f t="shared" si="2"/>
        <v>560</v>
      </c>
      <c r="T35" s="10">
        <f t="shared" si="3"/>
        <v>413</v>
      </c>
      <c r="U35" s="8">
        <f t="shared" si="4"/>
        <v>0.57553956834532372</v>
      </c>
      <c r="V35" s="8">
        <f t="shared" si="5"/>
        <v>0.42446043165467628</v>
      </c>
      <c r="W35" s="8">
        <v>0.637109174782163</v>
      </c>
      <c r="X35" s="8">
        <f t="shared" si="7"/>
        <v>0</v>
      </c>
      <c r="Y35" s="8">
        <f t="shared" si="8"/>
        <v>0.57553956834532372</v>
      </c>
    </row>
    <row r="36" spans="1:25">
      <c r="A36" s="1">
        <v>33</v>
      </c>
      <c r="B36" s="22" t="s">
        <v>45</v>
      </c>
      <c r="C36" s="23" t="s">
        <v>62</v>
      </c>
      <c r="D36" s="6"/>
      <c r="E36" s="15">
        <v>826</v>
      </c>
      <c r="F36" s="15">
        <v>2616</v>
      </c>
      <c r="G36" s="110">
        <v>81</v>
      </c>
      <c r="H36" s="1"/>
      <c r="I36" s="7">
        <f t="shared" si="12"/>
        <v>81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">
        <f t="shared" si="13"/>
        <v>0</v>
      </c>
      <c r="S36" s="7">
        <f t="shared" ref="S36:S67" si="14">R36+I36</f>
        <v>81</v>
      </c>
      <c r="T36" s="10">
        <f t="shared" ref="T36:T67" si="15">E36-S36</f>
        <v>745</v>
      </c>
      <c r="U36" s="8">
        <f t="shared" ref="U36:U67" si="16">S36/E36</f>
        <v>9.8062953995157381E-2</v>
      </c>
      <c r="V36" s="8">
        <f t="shared" ref="V36:V67" si="17">T36/E36</f>
        <v>0.90193704600484259</v>
      </c>
      <c r="W36" s="8">
        <f t="shared" ref="W36:W67" si="18">G36/E36</f>
        <v>9.8062953995157381E-2</v>
      </c>
      <c r="X36" s="8">
        <f t="shared" ref="X36:X67" si="19">I36/E36</f>
        <v>9.8062953995157381E-2</v>
      </c>
      <c r="Y36" s="8">
        <f t="shared" ref="Y36:Y67" si="20">R36/E36</f>
        <v>0</v>
      </c>
    </row>
    <row r="37" spans="1:25">
      <c r="A37" s="1">
        <v>34</v>
      </c>
      <c r="B37" s="22" t="s">
        <v>45</v>
      </c>
      <c r="C37" s="22" t="s">
        <v>48</v>
      </c>
      <c r="D37" s="6">
        <v>45086</v>
      </c>
      <c r="E37" s="15">
        <v>718</v>
      </c>
      <c r="F37" s="15">
        <v>2233</v>
      </c>
      <c r="G37" s="30">
        <v>121</v>
      </c>
      <c r="H37" s="1"/>
      <c r="I37" s="7">
        <f t="shared" si="12"/>
        <v>121</v>
      </c>
      <c r="J37" s="7">
        <v>0</v>
      </c>
      <c r="K37" s="7">
        <v>356</v>
      </c>
      <c r="L37" s="7">
        <v>0</v>
      </c>
      <c r="M37" s="7">
        <v>0</v>
      </c>
      <c r="N37" s="7">
        <v>0</v>
      </c>
      <c r="O37" s="7">
        <v>2</v>
      </c>
      <c r="P37" s="7">
        <v>0</v>
      </c>
      <c r="Q37" s="7">
        <v>0</v>
      </c>
      <c r="R37" s="1">
        <f t="shared" si="13"/>
        <v>358</v>
      </c>
      <c r="S37" s="7">
        <f t="shared" si="14"/>
        <v>479</v>
      </c>
      <c r="T37" s="10">
        <f t="shared" si="15"/>
        <v>239</v>
      </c>
      <c r="U37" s="8">
        <f t="shared" si="16"/>
        <v>0.66713091922005574</v>
      </c>
      <c r="V37" s="8">
        <f t="shared" si="17"/>
        <v>0.33286908077994432</v>
      </c>
      <c r="W37" s="8">
        <f t="shared" si="18"/>
        <v>0.16852367688022285</v>
      </c>
      <c r="X37" s="8">
        <f t="shared" si="19"/>
        <v>0.16852367688022285</v>
      </c>
      <c r="Y37" s="8">
        <f t="shared" si="20"/>
        <v>0.49860724233983289</v>
      </c>
    </row>
    <row r="38" spans="1:25">
      <c r="A38" s="1">
        <v>35</v>
      </c>
      <c r="B38" s="22" t="s">
        <v>45</v>
      </c>
      <c r="C38" s="22" t="s">
        <v>52</v>
      </c>
      <c r="D38" s="6">
        <v>44693</v>
      </c>
      <c r="E38" s="15">
        <v>521</v>
      </c>
      <c r="F38" s="15">
        <v>1554</v>
      </c>
      <c r="G38" s="30">
        <v>246</v>
      </c>
      <c r="H38" s="1"/>
      <c r="I38" s="7">
        <f t="shared" si="12"/>
        <v>246</v>
      </c>
      <c r="J38" s="7">
        <v>3</v>
      </c>
      <c r="K38" s="7">
        <v>92</v>
      </c>
      <c r="L38" s="7">
        <v>84</v>
      </c>
      <c r="M38" s="7">
        <v>19</v>
      </c>
      <c r="N38" s="7">
        <v>0</v>
      </c>
      <c r="O38" s="7">
        <v>2</v>
      </c>
      <c r="P38" s="7">
        <v>7</v>
      </c>
      <c r="Q38" s="7">
        <v>0</v>
      </c>
      <c r="R38" s="1">
        <f t="shared" si="13"/>
        <v>207</v>
      </c>
      <c r="S38" s="7">
        <f t="shared" si="14"/>
        <v>453</v>
      </c>
      <c r="T38" s="10">
        <f t="shared" si="15"/>
        <v>68</v>
      </c>
      <c r="U38" s="8">
        <f t="shared" si="16"/>
        <v>0.86948176583493286</v>
      </c>
      <c r="V38" s="8">
        <f t="shared" si="17"/>
        <v>0.13051823416506717</v>
      </c>
      <c r="W38" s="8">
        <f t="shared" si="18"/>
        <v>0.47216890595009597</v>
      </c>
      <c r="X38" s="8">
        <f t="shared" si="19"/>
        <v>0.47216890595009597</v>
      </c>
      <c r="Y38" s="8">
        <f t="shared" si="20"/>
        <v>0.39731285988483683</v>
      </c>
    </row>
    <row r="39" spans="1:25">
      <c r="A39" s="1">
        <v>36</v>
      </c>
      <c r="B39" s="22" t="s">
        <v>65</v>
      </c>
      <c r="C39" s="23" t="s">
        <v>96</v>
      </c>
      <c r="D39" s="6" t="s">
        <v>101</v>
      </c>
      <c r="E39" s="10">
        <v>173</v>
      </c>
      <c r="F39" s="10">
        <v>505</v>
      </c>
      <c r="G39" s="1"/>
      <c r="H39" s="1"/>
      <c r="I39" s="7">
        <f t="shared" si="12"/>
        <v>0</v>
      </c>
      <c r="J39" s="7">
        <v>0</v>
      </c>
      <c r="K39" s="7">
        <v>2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1">
        <f t="shared" ref="R39:R64" si="21">SUM(J39:Q39)</f>
        <v>3</v>
      </c>
      <c r="S39" s="7">
        <f t="shared" si="14"/>
        <v>3</v>
      </c>
      <c r="T39" s="10">
        <f t="shared" si="15"/>
        <v>170</v>
      </c>
      <c r="U39" s="8">
        <f t="shared" si="16"/>
        <v>1.7341040462427744E-2</v>
      </c>
      <c r="V39" s="8">
        <f t="shared" si="17"/>
        <v>0.98265895953757221</v>
      </c>
      <c r="W39" s="8">
        <f t="shared" si="18"/>
        <v>0</v>
      </c>
      <c r="X39" s="8">
        <f t="shared" si="19"/>
        <v>0</v>
      </c>
      <c r="Y39" s="8">
        <f t="shared" si="20"/>
        <v>1.7341040462427744E-2</v>
      </c>
    </row>
    <row r="40" spans="1:25">
      <c r="A40" s="1">
        <v>37</v>
      </c>
      <c r="B40" s="22" t="s">
        <v>65</v>
      </c>
      <c r="C40" s="23" t="s">
        <v>100</v>
      </c>
      <c r="D40" s="6" t="s">
        <v>87</v>
      </c>
      <c r="E40" s="10">
        <v>336</v>
      </c>
      <c r="F40" s="10">
        <v>1055</v>
      </c>
      <c r="G40" s="30">
        <v>233</v>
      </c>
      <c r="H40" s="1"/>
      <c r="I40" s="7">
        <f t="shared" si="12"/>
        <v>233</v>
      </c>
      <c r="J40" s="7">
        <v>0</v>
      </c>
      <c r="K40" s="7">
        <v>56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1">
        <f t="shared" si="21"/>
        <v>57</v>
      </c>
      <c r="S40" s="7">
        <f t="shared" si="14"/>
        <v>290</v>
      </c>
      <c r="T40" s="10">
        <f t="shared" si="15"/>
        <v>46</v>
      </c>
      <c r="U40" s="8">
        <f t="shared" si="16"/>
        <v>0.86309523809523814</v>
      </c>
      <c r="V40" s="8">
        <f t="shared" si="17"/>
        <v>0.13690476190476192</v>
      </c>
      <c r="W40" s="8">
        <f t="shared" si="18"/>
        <v>0.69345238095238093</v>
      </c>
      <c r="X40" s="8">
        <f t="shared" si="19"/>
        <v>0.69345238095238093</v>
      </c>
      <c r="Y40" s="8">
        <f t="shared" si="20"/>
        <v>0.16964285714285715</v>
      </c>
    </row>
    <row r="41" spans="1:25">
      <c r="A41" s="1">
        <v>38</v>
      </c>
      <c r="B41" s="22" t="s">
        <v>65</v>
      </c>
      <c r="C41" s="22" t="s">
        <v>94</v>
      </c>
      <c r="D41" s="6" t="s">
        <v>95</v>
      </c>
      <c r="E41" s="10">
        <v>243</v>
      </c>
      <c r="F41" s="10">
        <v>717</v>
      </c>
      <c r="G41" s="1"/>
      <c r="H41" s="30">
        <v>105</v>
      </c>
      <c r="I41" s="7">
        <f t="shared" si="12"/>
        <v>105</v>
      </c>
      <c r="J41" s="7">
        <v>0</v>
      </c>
      <c r="K41" s="7">
        <v>20</v>
      </c>
      <c r="L41" s="7">
        <v>0</v>
      </c>
      <c r="M41" s="7">
        <v>0</v>
      </c>
      <c r="N41" s="7">
        <v>4</v>
      </c>
      <c r="O41" s="7">
        <v>0</v>
      </c>
      <c r="P41" s="7">
        <v>0</v>
      </c>
      <c r="Q41" s="7">
        <v>0</v>
      </c>
      <c r="R41" s="1">
        <f t="shared" si="21"/>
        <v>24</v>
      </c>
      <c r="S41" s="7">
        <f t="shared" si="14"/>
        <v>129</v>
      </c>
      <c r="T41" s="10">
        <f t="shared" si="15"/>
        <v>114</v>
      </c>
      <c r="U41" s="8">
        <f t="shared" si="16"/>
        <v>0.53086419753086422</v>
      </c>
      <c r="V41" s="8">
        <f t="shared" si="17"/>
        <v>0.46913580246913578</v>
      </c>
      <c r="W41" s="8">
        <f t="shared" si="18"/>
        <v>0</v>
      </c>
      <c r="X41" s="8">
        <f t="shared" si="19"/>
        <v>0.43209876543209874</v>
      </c>
      <c r="Y41" s="8">
        <f t="shared" si="20"/>
        <v>9.8765432098765427E-2</v>
      </c>
    </row>
    <row r="42" spans="1:25">
      <c r="A42" s="1">
        <v>39</v>
      </c>
      <c r="B42" s="22" t="s">
        <v>65</v>
      </c>
      <c r="C42" s="23" t="s">
        <v>98</v>
      </c>
      <c r="D42" s="6" t="s">
        <v>99</v>
      </c>
      <c r="E42" s="10">
        <v>110</v>
      </c>
      <c r="F42" s="10">
        <v>354</v>
      </c>
      <c r="G42" s="1"/>
      <c r="H42" s="1"/>
      <c r="I42" s="7">
        <f t="shared" si="12"/>
        <v>0</v>
      </c>
      <c r="J42" s="7">
        <v>0</v>
      </c>
      <c r="K42" s="7">
        <v>0</v>
      </c>
      <c r="L42" s="7">
        <v>1</v>
      </c>
      <c r="M42" s="7">
        <v>0</v>
      </c>
      <c r="N42" s="7">
        <v>3</v>
      </c>
      <c r="O42" s="7">
        <v>0</v>
      </c>
      <c r="P42" s="7">
        <v>1</v>
      </c>
      <c r="Q42" s="7">
        <v>0</v>
      </c>
      <c r="R42" s="1">
        <f t="shared" si="21"/>
        <v>5</v>
      </c>
      <c r="S42" s="7">
        <f t="shared" si="14"/>
        <v>5</v>
      </c>
      <c r="T42" s="10">
        <f t="shared" si="15"/>
        <v>105</v>
      </c>
      <c r="U42" s="8">
        <f t="shared" si="16"/>
        <v>4.5454545454545456E-2</v>
      </c>
      <c r="V42" s="8">
        <f t="shared" si="17"/>
        <v>0.95454545454545459</v>
      </c>
      <c r="W42" s="8">
        <f t="shared" si="18"/>
        <v>0</v>
      </c>
      <c r="X42" s="8">
        <f t="shared" si="19"/>
        <v>0</v>
      </c>
      <c r="Y42" s="8">
        <f t="shared" si="20"/>
        <v>4.5454545454545456E-2</v>
      </c>
    </row>
    <row r="43" spans="1:25">
      <c r="A43" s="1">
        <v>40</v>
      </c>
      <c r="B43" s="22" t="s">
        <v>65</v>
      </c>
      <c r="C43" s="22" t="s">
        <v>75</v>
      </c>
      <c r="D43" s="6">
        <v>44659</v>
      </c>
      <c r="E43" s="10">
        <v>409</v>
      </c>
      <c r="F43" s="10">
        <v>1266</v>
      </c>
      <c r="G43" s="1"/>
      <c r="H43" s="30">
        <v>161</v>
      </c>
      <c r="I43" s="7">
        <f t="shared" si="12"/>
        <v>161</v>
      </c>
      <c r="J43" s="7">
        <v>50</v>
      </c>
      <c r="K43" s="7">
        <v>50</v>
      </c>
      <c r="L43" s="7">
        <v>0</v>
      </c>
      <c r="M43" s="7">
        <v>0</v>
      </c>
      <c r="N43" s="7">
        <v>10</v>
      </c>
      <c r="O43" s="7">
        <v>1</v>
      </c>
      <c r="P43" s="7">
        <v>1</v>
      </c>
      <c r="Q43" s="7">
        <v>10</v>
      </c>
      <c r="R43" s="1">
        <f t="shared" si="21"/>
        <v>122</v>
      </c>
      <c r="S43" s="7">
        <f t="shared" si="14"/>
        <v>283</v>
      </c>
      <c r="T43" s="10">
        <f t="shared" si="15"/>
        <v>126</v>
      </c>
      <c r="U43" s="8">
        <f t="shared" si="16"/>
        <v>0.69193154034229831</v>
      </c>
      <c r="V43" s="8">
        <f t="shared" si="17"/>
        <v>0.30806845965770169</v>
      </c>
      <c r="W43" s="8">
        <f t="shared" si="18"/>
        <v>0</v>
      </c>
      <c r="X43" s="8">
        <f t="shared" si="19"/>
        <v>0.39364303178484106</v>
      </c>
      <c r="Y43" s="8">
        <f t="shared" si="20"/>
        <v>0.2982885085574572</v>
      </c>
    </row>
    <row r="44" spans="1:25">
      <c r="A44" s="1">
        <v>41</v>
      </c>
      <c r="B44" s="22" t="s">
        <v>65</v>
      </c>
      <c r="C44" s="22" t="s">
        <v>80</v>
      </c>
      <c r="D44" s="6" t="s">
        <v>81</v>
      </c>
      <c r="E44" s="10">
        <v>657</v>
      </c>
      <c r="F44" s="10">
        <v>1865</v>
      </c>
      <c r="G44" s="30">
        <v>144</v>
      </c>
      <c r="H44" s="1"/>
      <c r="I44" s="7">
        <f t="shared" si="12"/>
        <v>144</v>
      </c>
      <c r="J44" s="7">
        <v>0</v>
      </c>
      <c r="K44" s="7">
        <v>180</v>
      </c>
      <c r="L44" s="7">
        <v>0</v>
      </c>
      <c r="M44" s="7">
        <v>100</v>
      </c>
      <c r="N44" s="7">
        <v>0</v>
      </c>
      <c r="O44" s="7">
        <v>0</v>
      </c>
      <c r="P44" s="7">
        <v>3</v>
      </c>
      <c r="Q44" s="7">
        <v>0</v>
      </c>
      <c r="R44" s="1">
        <f t="shared" si="21"/>
        <v>283</v>
      </c>
      <c r="S44" s="7">
        <f t="shared" si="14"/>
        <v>427</v>
      </c>
      <c r="T44" s="10">
        <f t="shared" si="15"/>
        <v>230</v>
      </c>
      <c r="U44" s="8">
        <f t="shared" si="16"/>
        <v>0.64992389649923898</v>
      </c>
      <c r="V44" s="8">
        <f t="shared" si="17"/>
        <v>0.35007610350076102</v>
      </c>
      <c r="W44" s="8">
        <f t="shared" si="18"/>
        <v>0.21917808219178081</v>
      </c>
      <c r="X44" s="8">
        <f t="shared" si="19"/>
        <v>0.21917808219178081</v>
      </c>
      <c r="Y44" s="8">
        <f t="shared" si="20"/>
        <v>0.43074581430745812</v>
      </c>
    </row>
    <row r="45" spans="1:25">
      <c r="A45" s="1">
        <v>42</v>
      </c>
      <c r="B45" s="22" t="s">
        <v>65</v>
      </c>
      <c r="C45" s="24" t="s">
        <v>82</v>
      </c>
      <c r="D45" s="6" t="s">
        <v>83</v>
      </c>
      <c r="E45" s="10">
        <v>373</v>
      </c>
      <c r="F45" s="10">
        <v>1188</v>
      </c>
      <c r="G45" s="1"/>
      <c r="H45" s="1"/>
      <c r="I45" s="7">
        <f t="shared" si="12"/>
        <v>0</v>
      </c>
      <c r="J45" s="7">
        <v>3</v>
      </c>
      <c r="K45" s="7">
        <v>145</v>
      </c>
      <c r="L45" s="7">
        <v>0</v>
      </c>
      <c r="M45" s="7">
        <v>3</v>
      </c>
      <c r="N45" s="7">
        <v>0</v>
      </c>
      <c r="O45" s="7">
        <v>0</v>
      </c>
      <c r="P45" s="7">
        <v>2</v>
      </c>
      <c r="Q45" s="7">
        <v>0</v>
      </c>
      <c r="R45" s="1">
        <f t="shared" si="21"/>
        <v>153</v>
      </c>
      <c r="S45" s="7">
        <f t="shared" si="14"/>
        <v>153</v>
      </c>
      <c r="T45" s="10">
        <f t="shared" si="15"/>
        <v>220</v>
      </c>
      <c r="U45" s="8">
        <f t="shared" si="16"/>
        <v>0.41018766756032171</v>
      </c>
      <c r="V45" s="8">
        <f t="shared" si="17"/>
        <v>0.58981233243967823</v>
      </c>
      <c r="W45" s="8">
        <f t="shared" si="18"/>
        <v>0</v>
      </c>
      <c r="X45" s="8">
        <f t="shared" si="19"/>
        <v>0</v>
      </c>
      <c r="Y45" s="8">
        <f t="shared" si="20"/>
        <v>0.41018766756032171</v>
      </c>
    </row>
    <row r="46" spans="1:25">
      <c r="A46" s="1">
        <v>43</v>
      </c>
      <c r="B46" s="22" t="s">
        <v>65</v>
      </c>
      <c r="C46" s="23" t="s">
        <v>88</v>
      </c>
      <c r="D46" s="6" t="s">
        <v>63</v>
      </c>
      <c r="E46" s="10">
        <v>585</v>
      </c>
      <c r="F46" s="10">
        <v>1734</v>
      </c>
      <c r="G46" s="1"/>
      <c r="H46" s="30">
        <v>105</v>
      </c>
      <c r="I46" s="7">
        <f t="shared" si="12"/>
        <v>105</v>
      </c>
      <c r="J46" s="7">
        <v>0</v>
      </c>
      <c r="K46" s="7">
        <v>2</v>
      </c>
      <c r="L46" s="7">
        <v>0</v>
      </c>
      <c r="M46" s="7">
        <v>0</v>
      </c>
      <c r="N46" s="7">
        <v>0</v>
      </c>
      <c r="O46" s="7">
        <v>3</v>
      </c>
      <c r="P46" s="7">
        <v>0</v>
      </c>
      <c r="Q46" s="7">
        <v>0</v>
      </c>
      <c r="R46" s="1">
        <f t="shared" si="21"/>
        <v>5</v>
      </c>
      <c r="S46" s="7">
        <f t="shared" si="14"/>
        <v>110</v>
      </c>
      <c r="T46" s="10">
        <f t="shared" si="15"/>
        <v>475</v>
      </c>
      <c r="U46" s="8">
        <f t="shared" si="16"/>
        <v>0.18803418803418803</v>
      </c>
      <c r="V46" s="8">
        <f t="shared" si="17"/>
        <v>0.81196581196581197</v>
      </c>
      <c r="W46" s="8">
        <f t="shared" si="18"/>
        <v>0</v>
      </c>
      <c r="X46" s="8">
        <f t="shared" si="19"/>
        <v>0.17948717948717949</v>
      </c>
      <c r="Y46" s="8">
        <f t="shared" si="20"/>
        <v>8.5470085470085479E-3</v>
      </c>
    </row>
    <row r="47" spans="1:25">
      <c r="A47" s="1">
        <v>44</v>
      </c>
      <c r="B47" s="22" t="s">
        <v>65</v>
      </c>
      <c r="C47" s="23" t="s">
        <v>89</v>
      </c>
      <c r="D47" s="6">
        <v>44628</v>
      </c>
      <c r="E47" s="10">
        <v>552</v>
      </c>
      <c r="F47" s="10">
        <v>1635</v>
      </c>
      <c r="G47" s="1"/>
      <c r="H47" s="30">
        <v>12</v>
      </c>
      <c r="I47" s="7">
        <f t="shared" si="12"/>
        <v>12</v>
      </c>
      <c r="J47" s="7">
        <v>0</v>
      </c>
      <c r="K47" s="7">
        <v>25</v>
      </c>
      <c r="L47" s="7">
        <v>0</v>
      </c>
      <c r="M47" s="7">
        <v>0</v>
      </c>
      <c r="N47" s="7">
        <v>0</v>
      </c>
      <c r="O47" s="7">
        <v>17</v>
      </c>
      <c r="P47" s="7">
        <v>1</v>
      </c>
      <c r="Q47" s="7">
        <v>0</v>
      </c>
      <c r="R47" s="1">
        <f t="shared" si="21"/>
        <v>43</v>
      </c>
      <c r="S47" s="7">
        <f t="shared" si="14"/>
        <v>55</v>
      </c>
      <c r="T47" s="10">
        <f t="shared" si="15"/>
        <v>497</v>
      </c>
      <c r="U47" s="8">
        <f t="shared" si="16"/>
        <v>9.9637681159420288E-2</v>
      </c>
      <c r="V47" s="8">
        <f t="shared" si="17"/>
        <v>0.90036231884057971</v>
      </c>
      <c r="W47" s="8">
        <f t="shared" si="18"/>
        <v>0</v>
      </c>
      <c r="X47" s="8">
        <f t="shared" si="19"/>
        <v>2.1739130434782608E-2</v>
      </c>
      <c r="Y47" s="8">
        <f t="shared" si="20"/>
        <v>7.789855072463768E-2</v>
      </c>
    </row>
    <row r="48" spans="1:25">
      <c r="A48" s="1">
        <v>45</v>
      </c>
      <c r="B48" s="22" t="s">
        <v>65</v>
      </c>
      <c r="C48" s="22" t="s">
        <v>84</v>
      </c>
      <c r="D48" s="6">
        <v>44900</v>
      </c>
      <c r="E48" s="10">
        <v>679</v>
      </c>
      <c r="F48" s="10">
        <v>2164</v>
      </c>
      <c r="G48" s="30">
        <v>318</v>
      </c>
      <c r="H48" s="1"/>
      <c r="I48" s="7">
        <f t="shared" si="12"/>
        <v>318</v>
      </c>
      <c r="J48" s="7">
        <v>0</v>
      </c>
      <c r="K48" s="7">
        <v>200</v>
      </c>
      <c r="L48" s="7">
        <v>0</v>
      </c>
      <c r="M48" s="7">
        <v>0</v>
      </c>
      <c r="N48" s="7">
        <v>0</v>
      </c>
      <c r="O48" s="7">
        <v>4</v>
      </c>
      <c r="P48" s="7">
        <v>0</v>
      </c>
      <c r="Q48" s="7">
        <v>0</v>
      </c>
      <c r="R48" s="1">
        <f t="shared" si="21"/>
        <v>204</v>
      </c>
      <c r="S48" s="7">
        <f t="shared" si="14"/>
        <v>522</v>
      </c>
      <c r="T48" s="10">
        <f t="shared" si="15"/>
        <v>157</v>
      </c>
      <c r="U48" s="8">
        <f t="shared" si="16"/>
        <v>0.76877761413843893</v>
      </c>
      <c r="V48" s="8">
        <f t="shared" si="17"/>
        <v>0.23122238586156113</v>
      </c>
      <c r="W48" s="8">
        <f t="shared" si="18"/>
        <v>0.46833578792341679</v>
      </c>
      <c r="X48" s="8">
        <f t="shared" si="19"/>
        <v>0.46833578792341679</v>
      </c>
      <c r="Y48" s="8">
        <f t="shared" si="20"/>
        <v>0.30044182621502208</v>
      </c>
    </row>
    <row r="49" spans="1:25">
      <c r="A49" s="1">
        <v>46</v>
      </c>
      <c r="B49" s="22" t="s">
        <v>65</v>
      </c>
      <c r="C49" s="22" t="s">
        <v>79</v>
      </c>
      <c r="D49" s="6" t="s">
        <v>63</v>
      </c>
      <c r="E49" s="10">
        <v>353</v>
      </c>
      <c r="F49" s="10">
        <v>1003</v>
      </c>
      <c r="G49" s="1"/>
      <c r="H49" s="30">
        <v>175</v>
      </c>
      <c r="I49" s="7">
        <f t="shared" si="12"/>
        <v>175</v>
      </c>
      <c r="J49" s="7">
        <v>1</v>
      </c>
      <c r="K49" s="7">
        <v>309</v>
      </c>
      <c r="L49" s="7">
        <v>0</v>
      </c>
      <c r="M49" s="7">
        <v>0</v>
      </c>
      <c r="N49" s="7">
        <v>0</v>
      </c>
      <c r="O49" s="7">
        <v>4</v>
      </c>
      <c r="P49" s="7">
        <v>1</v>
      </c>
      <c r="Q49" s="7">
        <v>0</v>
      </c>
      <c r="R49" s="1">
        <f t="shared" si="21"/>
        <v>315</v>
      </c>
      <c r="S49" s="7">
        <f t="shared" si="14"/>
        <v>490</v>
      </c>
      <c r="T49" s="31">
        <f t="shared" si="15"/>
        <v>-137</v>
      </c>
      <c r="U49" s="8">
        <f t="shared" si="16"/>
        <v>1.3881019830028329</v>
      </c>
      <c r="V49" s="8">
        <f t="shared" si="17"/>
        <v>-0.38810198300283288</v>
      </c>
      <c r="W49" s="8">
        <f t="shared" si="18"/>
        <v>0</v>
      </c>
      <c r="X49" s="8">
        <f t="shared" si="19"/>
        <v>0.49575070821529743</v>
      </c>
      <c r="Y49" s="8">
        <f t="shared" si="20"/>
        <v>0.8923512747875354</v>
      </c>
    </row>
    <row r="50" spans="1:25">
      <c r="A50" s="1">
        <v>47</v>
      </c>
      <c r="B50" s="22" t="s">
        <v>65</v>
      </c>
      <c r="C50" s="22" t="s">
        <v>76</v>
      </c>
      <c r="D50" s="6" t="s">
        <v>77</v>
      </c>
      <c r="E50" s="10">
        <v>304</v>
      </c>
      <c r="F50" s="10">
        <v>903</v>
      </c>
      <c r="G50" s="1"/>
      <c r="H50" s="30">
        <v>253</v>
      </c>
      <c r="I50" s="7">
        <f t="shared" si="12"/>
        <v>253</v>
      </c>
      <c r="J50" s="7">
        <v>15</v>
      </c>
      <c r="K50" s="7">
        <v>250</v>
      </c>
      <c r="L50" s="7">
        <v>10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1">
        <f t="shared" si="21"/>
        <v>276</v>
      </c>
      <c r="S50" s="7">
        <f t="shared" si="14"/>
        <v>529</v>
      </c>
      <c r="T50" s="31">
        <f t="shared" si="15"/>
        <v>-225</v>
      </c>
      <c r="U50" s="8">
        <f t="shared" si="16"/>
        <v>1.7401315789473684</v>
      </c>
      <c r="V50" s="8">
        <f t="shared" si="17"/>
        <v>-0.74013157894736847</v>
      </c>
      <c r="W50" s="8">
        <f t="shared" si="18"/>
        <v>0</v>
      </c>
      <c r="X50" s="8">
        <f t="shared" si="19"/>
        <v>0.83223684210526316</v>
      </c>
      <c r="Y50" s="8">
        <f t="shared" si="20"/>
        <v>0.90789473684210531</v>
      </c>
    </row>
    <row r="51" spans="1:25">
      <c r="A51" s="1">
        <v>48</v>
      </c>
      <c r="B51" s="22" t="s">
        <v>65</v>
      </c>
      <c r="C51" s="22" t="s">
        <v>78</v>
      </c>
      <c r="D51" s="6">
        <v>44713</v>
      </c>
      <c r="E51" s="10">
        <v>516</v>
      </c>
      <c r="F51" s="10">
        <v>1566</v>
      </c>
      <c r="G51" s="1"/>
      <c r="H51" s="30">
        <v>215</v>
      </c>
      <c r="I51" s="7">
        <f t="shared" si="12"/>
        <v>215</v>
      </c>
      <c r="J51" s="7">
        <v>0</v>
      </c>
      <c r="K51" s="7">
        <v>185</v>
      </c>
      <c r="L51" s="7">
        <v>1</v>
      </c>
      <c r="M51" s="7">
        <v>0</v>
      </c>
      <c r="N51" s="7">
        <v>0</v>
      </c>
      <c r="O51" s="7">
        <v>3</v>
      </c>
      <c r="P51" s="7">
        <v>80</v>
      </c>
      <c r="Q51" s="7">
        <v>0</v>
      </c>
      <c r="R51" s="1">
        <f t="shared" si="21"/>
        <v>269</v>
      </c>
      <c r="S51" s="7">
        <f t="shared" si="14"/>
        <v>484</v>
      </c>
      <c r="T51" s="10">
        <f t="shared" si="15"/>
        <v>32</v>
      </c>
      <c r="U51" s="8">
        <f t="shared" si="16"/>
        <v>0.93798449612403101</v>
      </c>
      <c r="V51" s="8">
        <f t="shared" si="17"/>
        <v>6.2015503875968991E-2</v>
      </c>
      <c r="W51" s="8">
        <f t="shared" si="18"/>
        <v>0</v>
      </c>
      <c r="X51" s="8">
        <f t="shared" si="19"/>
        <v>0.41666666666666669</v>
      </c>
      <c r="Y51" s="8">
        <f t="shared" si="20"/>
        <v>0.52131782945736438</v>
      </c>
    </row>
    <row r="52" spans="1:25">
      <c r="A52" s="1">
        <v>49</v>
      </c>
      <c r="B52" s="22" t="s">
        <v>65</v>
      </c>
      <c r="C52" s="22" t="s">
        <v>66</v>
      </c>
      <c r="D52" s="6" t="s">
        <v>67</v>
      </c>
      <c r="E52" s="10">
        <v>641</v>
      </c>
      <c r="F52" s="10">
        <v>2127</v>
      </c>
      <c r="G52" s="30">
        <v>439</v>
      </c>
      <c r="H52" s="1"/>
      <c r="I52" s="7">
        <f t="shared" si="12"/>
        <v>439</v>
      </c>
      <c r="J52" s="7">
        <v>0</v>
      </c>
      <c r="K52" s="7">
        <v>10</v>
      </c>
      <c r="L52" s="7">
        <v>4</v>
      </c>
      <c r="M52" s="7">
        <v>0</v>
      </c>
      <c r="N52" s="7">
        <v>0</v>
      </c>
      <c r="O52" s="7">
        <v>0</v>
      </c>
      <c r="P52" s="7">
        <v>2</v>
      </c>
      <c r="Q52" s="7">
        <v>0</v>
      </c>
      <c r="R52" s="1">
        <f t="shared" si="21"/>
        <v>16</v>
      </c>
      <c r="S52" s="7">
        <f t="shared" si="14"/>
        <v>455</v>
      </c>
      <c r="T52" s="10">
        <f t="shared" si="15"/>
        <v>186</v>
      </c>
      <c r="U52" s="8">
        <f t="shared" si="16"/>
        <v>0.70982839313572543</v>
      </c>
      <c r="V52" s="8">
        <f t="shared" si="17"/>
        <v>0.29017160686427457</v>
      </c>
      <c r="W52" s="8">
        <f t="shared" si="18"/>
        <v>0.68486739469578783</v>
      </c>
      <c r="X52" s="8">
        <f t="shared" si="19"/>
        <v>0.68486739469578783</v>
      </c>
      <c r="Y52" s="8">
        <f t="shared" si="20"/>
        <v>2.4960998439937598E-2</v>
      </c>
    </row>
    <row r="53" spans="1:25">
      <c r="A53" s="1">
        <v>50</v>
      </c>
      <c r="B53" s="22" t="s">
        <v>65</v>
      </c>
      <c r="C53" s="22" t="s">
        <v>91</v>
      </c>
      <c r="D53" s="6">
        <v>44896</v>
      </c>
      <c r="E53" s="10">
        <v>188</v>
      </c>
      <c r="F53" s="10">
        <v>611</v>
      </c>
      <c r="G53" s="1"/>
      <c r="H53" s="30">
        <v>158</v>
      </c>
      <c r="I53" s="7">
        <f t="shared" si="12"/>
        <v>158</v>
      </c>
      <c r="J53" s="7">
        <v>0</v>
      </c>
      <c r="K53" s="7">
        <v>30</v>
      </c>
      <c r="L53" s="7">
        <v>1</v>
      </c>
      <c r="M53" s="7">
        <v>0</v>
      </c>
      <c r="N53" s="7">
        <v>2</v>
      </c>
      <c r="O53" s="7">
        <v>3</v>
      </c>
      <c r="P53" s="7">
        <v>3</v>
      </c>
      <c r="Q53" s="7">
        <v>0</v>
      </c>
      <c r="R53" s="1">
        <f t="shared" si="21"/>
        <v>39</v>
      </c>
      <c r="S53" s="7">
        <f t="shared" si="14"/>
        <v>197</v>
      </c>
      <c r="T53" s="31">
        <f t="shared" si="15"/>
        <v>-9</v>
      </c>
      <c r="U53" s="8">
        <f t="shared" si="16"/>
        <v>1.0478723404255319</v>
      </c>
      <c r="V53" s="8">
        <f t="shared" si="17"/>
        <v>-4.7872340425531915E-2</v>
      </c>
      <c r="W53" s="8">
        <f t="shared" si="18"/>
        <v>0</v>
      </c>
      <c r="X53" s="8">
        <f t="shared" si="19"/>
        <v>0.84042553191489366</v>
      </c>
      <c r="Y53" s="8">
        <f t="shared" si="20"/>
        <v>0.20744680851063829</v>
      </c>
    </row>
    <row r="54" spans="1:25">
      <c r="A54" s="1">
        <v>51</v>
      </c>
      <c r="B54" s="22" t="s">
        <v>65</v>
      </c>
      <c r="C54" s="22" t="s">
        <v>65</v>
      </c>
      <c r="D54" s="6" t="s">
        <v>47</v>
      </c>
      <c r="E54" s="10">
        <v>530</v>
      </c>
      <c r="F54" s="10">
        <v>1665</v>
      </c>
      <c r="G54" s="30">
        <v>300</v>
      </c>
      <c r="H54" s="1"/>
      <c r="I54" s="7">
        <f t="shared" si="12"/>
        <v>300</v>
      </c>
      <c r="J54" s="7">
        <v>4</v>
      </c>
      <c r="K54" s="7">
        <v>16</v>
      </c>
      <c r="L54" s="7">
        <v>7</v>
      </c>
      <c r="M54" s="7">
        <v>0</v>
      </c>
      <c r="N54" s="7">
        <v>3</v>
      </c>
      <c r="O54" s="7">
        <v>2</v>
      </c>
      <c r="P54" s="7">
        <v>6</v>
      </c>
      <c r="Q54" s="7">
        <v>1</v>
      </c>
      <c r="R54" s="1">
        <f t="shared" si="21"/>
        <v>39</v>
      </c>
      <c r="S54" s="7">
        <f t="shared" si="14"/>
        <v>339</v>
      </c>
      <c r="T54" s="10">
        <f t="shared" si="15"/>
        <v>191</v>
      </c>
      <c r="U54" s="8">
        <f t="shared" si="16"/>
        <v>0.63962264150943393</v>
      </c>
      <c r="V54" s="8">
        <f t="shared" si="17"/>
        <v>0.36037735849056601</v>
      </c>
      <c r="W54" s="8">
        <f t="shared" si="18"/>
        <v>0.56603773584905659</v>
      </c>
      <c r="X54" s="8">
        <f t="shared" si="19"/>
        <v>0.56603773584905659</v>
      </c>
      <c r="Y54" s="8">
        <f t="shared" si="20"/>
        <v>7.3584905660377356E-2</v>
      </c>
    </row>
    <row r="55" spans="1:25">
      <c r="A55" s="1">
        <v>52</v>
      </c>
      <c r="B55" s="22" t="s">
        <v>65</v>
      </c>
      <c r="C55" s="23" t="s">
        <v>72</v>
      </c>
      <c r="D55" s="6" t="s">
        <v>50</v>
      </c>
      <c r="E55" s="10">
        <v>634</v>
      </c>
      <c r="F55" s="10">
        <v>1886</v>
      </c>
      <c r="G55" s="1"/>
      <c r="H55" s="1"/>
      <c r="I55" s="7">
        <f t="shared" si="12"/>
        <v>0</v>
      </c>
      <c r="J55" s="7">
        <v>1</v>
      </c>
      <c r="K55" s="7">
        <v>0</v>
      </c>
      <c r="L55" s="7">
        <v>0</v>
      </c>
      <c r="M55" s="7">
        <v>0</v>
      </c>
      <c r="N55" s="7">
        <v>15</v>
      </c>
      <c r="O55" s="7">
        <v>0</v>
      </c>
      <c r="P55" s="7">
        <v>0</v>
      </c>
      <c r="Q55" s="7">
        <v>1</v>
      </c>
      <c r="R55" s="1">
        <f t="shared" si="21"/>
        <v>17</v>
      </c>
      <c r="S55" s="7">
        <f t="shared" si="14"/>
        <v>17</v>
      </c>
      <c r="T55" s="10">
        <f t="shared" si="15"/>
        <v>617</v>
      </c>
      <c r="U55" s="8">
        <f t="shared" si="16"/>
        <v>2.6813880126182965E-2</v>
      </c>
      <c r="V55" s="8">
        <f t="shared" si="17"/>
        <v>0.97318611987381698</v>
      </c>
      <c r="W55" s="8">
        <f t="shared" si="18"/>
        <v>0</v>
      </c>
      <c r="X55" s="8">
        <f t="shared" si="19"/>
        <v>0</v>
      </c>
      <c r="Y55" s="8">
        <f t="shared" si="20"/>
        <v>2.6813880126182965E-2</v>
      </c>
    </row>
    <row r="56" spans="1:25">
      <c r="A56" s="1">
        <v>53</v>
      </c>
      <c r="B56" s="22" t="s">
        <v>65</v>
      </c>
      <c r="C56" s="22" t="s">
        <v>86</v>
      </c>
      <c r="D56" s="6" t="s">
        <v>87</v>
      </c>
      <c r="E56" s="10">
        <v>552</v>
      </c>
      <c r="F56" s="10">
        <v>1745</v>
      </c>
      <c r="G56" s="1"/>
      <c r="H56" s="1"/>
      <c r="I56" s="7">
        <f t="shared" si="12"/>
        <v>0</v>
      </c>
      <c r="J56" s="7">
        <v>0</v>
      </c>
      <c r="K56" s="7">
        <v>600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1">
        <f t="shared" si="21"/>
        <v>600</v>
      </c>
      <c r="S56" s="7">
        <f t="shared" si="14"/>
        <v>600</v>
      </c>
      <c r="T56" s="31">
        <f t="shared" si="15"/>
        <v>-48</v>
      </c>
      <c r="U56" s="8">
        <f t="shared" si="16"/>
        <v>1.0869565217391304</v>
      </c>
      <c r="V56" s="8">
        <f t="shared" si="17"/>
        <v>-8.6956521739130432E-2</v>
      </c>
      <c r="W56" s="8">
        <f t="shared" si="18"/>
        <v>0</v>
      </c>
      <c r="X56" s="8">
        <f t="shared" si="19"/>
        <v>0</v>
      </c>
      <c r="Y56" s="8">
        <f t="shared" si="20"/>
        <v>1.0869565217391304</v>
      </c>
    </row>
    <row r="57" spans="1:25">
      <c r="A57" s="1">
        <v>54</v>
      </c>
      <c r="B57" s="22" t="s">
        <v>65</v>
      </c>
      <c r="C57" s="22" t="s">
        <v>69</v>
      </c>
      <c r="D57" s="6" t="s">
        <v>70</v>
      </c>
      <c r="E57" s="10">
        <v>1419</v>
      </c>
      <c r="F57" s="10">
        <v>4373</v>
      </c>
      <c r="G57" s="30">
        <v>920</v>
      </c>
      <c r="H57" s="1"/>
      <c r="I57" s="7">
        <f t="shared" si="12"/>
        <v>920</v>
      </c>
      <c r="J57" s="7">
        <v>0</v>
      </c>
      <c r="K57" s="7">
        <v>15</v>
      </c>
      <c r="L57" s="7">
        <v>4</v>
      </c>
      <c r="M57" s="7">
        <v>9</v>
      </c>
      <c r="N57" s="7">
        <v>6</v>
      </c>
      <c r="O57" s="7">
        <v>1</v>
      </c>
      <c r="P57" s="7">
        <v>3</v>
      </c>
      <c r="Q57" s="7">
        <v>0</v>
      </c>
      <c r="R57" s="1">
        <f t="shared" si="21"/>
        <v>38</v>
      </c>
      <c r="S57" s="7">
        <f t="shared" si="14"/>
        <v>958</v>
      </c>
      <c r="T57" s="10">
        <f t="shared" si="15"/>
        <v>461</v>
      </c>
      <c r="U57" s="8">
        <f t="shared" si="16"/>
        <v>0.67512332628611693</v>
      </c>
      <c r="V57" s="8">
        <f t="shared" si="17"/>
        <v>0.32487667371388301</v>
      </c>
      <c r="W57" s="8">
        <f t="shared" si="18"/>
        <v>0.6483439041578577</v>
      </c>
      <c r="X57" s="8">
        <f t="shared" si="19"/>
        <v>0.6483439041578577</v>
      </c>
      <c r="Y57" s="8">
        <f t="shared" si="20"/>
        <v>2.6779422128259338E-2</v>
      </c>
    </row>
    <row r="58" spans="1:25">
      <c r="A58" s="1">
        <v>55</v>
      </c>
      <c r="B58" s="22" t="s">
        <v>65</v>
      </c>
      <c r="C58" s="24" t="s">
        <v>226</v>
      </c>
      <c r="D58" s="6">
        <v>44866</v>
      </c>
      <c r="E58" s="10">
        <v>1318</v>
      </c>
      <c r="F58" s="10">
        <v>4129</v>
      </c>
      <c r="G58" s="30">
        <v>528</v>
      </c>
      <c r="H58" s="1"/>
      <c r="I58" s="7">
        <f t="shared" si="12"/>
        <v>528</v>
      </c>
      <c r="J58" s="7">
        <v>0</v>
      </c>
      <c r="K58" s="7">
        <v>20</v>
      </c>
      <c r="L58" s="7">
        <v>0</v>
      </c>
      <c r="M58" s="7">
        <v>0</v>
      </c>
      <c r="N58" s="7">
        <v>1</v>
      </c>
      <c r="O58" s="7">
        <v>0</v>
      </c>
      <c r="P58" s="7">
        <v>2</v>
      </c>
      <c r="Q58" s="7">
        <v>4</v>
      </c>
      <c r="R58" s="1">
        <f t="shared" si="21"/>
        <v>27</v>
      </c>
      <c r="S58" s="7">
        <f t="shared" si="14"/>
        <v>555</v>
      </c>
      <c r="T58" s="10">
        <f t="shared" si="15"/>
        <v>763</v>
      </c>
      <c r="U58" s="8">
        <f t="shared" si="16"/>
        <v>0.421092564491654</v>
      </c>
      <c r="V58" s="8">
        <f t="shared" si="17"/>
        <v>0.578907435508346</v>
      </c>
      <c r="W58" s="8">
        <f t="shared" si="18"/>
        <v>0.40060698027314112</v>
      </c>
      <c r="X58" s="8">
        <f t="shared" si="19"/>
        <v>0.40060698027314112</v>
      </c>
      <c r="Y58" s="8">
        <f t="shared" si="20"/>
        <v>2.04855842185129E-2</v>
      </c>
    </row>
    <row r="59" spans="1:25">
      <c r="A59" s="1">
        <v>56</v>
      </c>
      <c r="B59" s="22" t="s">
        <v>65</v>
      </c>
      <c r="C59" s="22" t="s">
        <v>68</v>
      </c>
      <c r="D59" s="6" t="s">
        <v>64</v>
      </c>
      <c r="E59" s="10">
        <v>864</v>
      </c>
      <c r="F59" s="10">
        <v>2675</v>
      </c>
      <c r="G59" s="110">
        <v>352</v>
      </c>
      <c r="H59" s="1"/>
      <c r="I59" s="7">
        <f t="shared" si="12"/>
        <v>352</v>
      </c>
      <c r="J59" s="7">
        <v>0</v>
      </c>
      <c r="K59" s="7">
        <v>101</v>
      </c>
      <c r="L59" s="7">
        <v>0</v>
      </c>
      <c r="M59" s="7">
        <v>0</v>
      </c>
      <c r="N59" s="7">
        <v>5</v>
      </c>
      <c r="O59" s="7">
        <v>0</v>
      </c>
      <c r="P59" s="7">
        <v>1</v>
      </c>
      <c r="Q59" s="7">
        <v>1</v>
      </c>
      <c r="R59" s="1">
        <f t="shared" si="21"/>
        <v>108</v>
      </c>
      <c r="S59" s="7">
        <f t="shared" si="14"/>
        <v>460</v>
      </c>
      <c r="T59" s="10">
        <f t="shared" si="15"/>
        <v>404</v>
      </c>
      <c r="U59" s="8">
        <f t="shared" si="16"/>
        <v>0.53240740740740744</v>
      </c>
      <c r="V59" s="8">
        <f t="shared" si="17"/>
        <v>0.46759259259259262</v>
      </c>
      <c r="W59" s="8">
        <f t="shared" si="18"/>
        <v>0.40740740740740738</v>
      </c>
      <c r="X59" s="8">
        <f t="shared" si="19"/>
        <v>0.40740740740740738</v>
      </c>
      <c r="Y59" s="8">
        <f t="shared" si="20"/>
        <v>0.125</v>
      </c>
    </row>
    <row r="60" spans="1:25">
      <c r="A60" s="1">
        <v>57</v>
      </c>
      <c r="B60" s="22" t="s">
        <v>65</v>
      </c>
      <c r="C60" s="22" t="s">
        <v>90</v>
      </c>
      <c r="D60" s="6">
        <v>44745</v>
      </c>
      <c r="E60" s="10">
        <v>483</v>
      </c>
      <c r="F60" s="10">
        <v>1510</v>
      </c>
      <c r="G60" s="33"/>
      <c r="H60" s="30">
        <v>145</v>
      </c>
      <c r="I60" s="7">
        <f t="shared" si="12"/>
        <v>145</v>
      </c>
      <c r="J60" s="7">
        <v>15</v>
      </c>
      <c r="K60" s="7">
        <v>116</v>
      </c>
      <c r="L60" s="7">
        <v>0</v>
      </c>
      <c r="M60" s="32">
        <v>180</v>
      </c>
      <c r="N60" s="7">
        <v>0</v>
      </c>
      <c r="O60" s="7">
        <v>1</v>
      </c>
      <c r="P60" s="7">
        <v>4</v>
      </c>
      <c r="Q60" s="7">
        <v>2</v>
      </c>
      <c r="R60" s="1">
        <f t="shared" si="21"/>
        <v>318</v>
      </c>
      <c r="S60" s="7">
        <f t="shared" si="14"/>
        <v>463</v>
      </c>
      <c r="T60" s="31">
        <f t="shared" si="15"/>
        <v>20</v>
      </c>
      <c r="U60" s="8">
        <f t="shared" si="16"/>
        <v>0.95859213250517594</v>
      </c>
      <c r="V60" s="8">
        <f t="shared" si="17"/>
        <v>4.1407867494824016E-2</v>
      </c>
      <c r="W60" s="8">
        <f t="shared" si="18"/>
        <v>0</v>
      </c>
      <c r="X60" s="8">
        <f t="shared" si="19"/>
        <v>0.30020703933747411</v>
      </c>
      <c r="Y60" s="8">
        <f t="shared" si="20"/>
        <v>0.65838509316770188</v>
      </c>
    </row>
    <row r="61" spans="1:25">
      <c r="A61" s="1">
        <v>58</v>
      </c>
      <c r="B61" s="22" t="s">
        <v>65</v>
      </c>
      <c r="C61" s="22" t="s">
        <v>97</v>
      </c>
      <c r="D61" s="6">
        <v>44658</v>
      </c>
      <c r="E61" s="10">
        <v>600</v>
      </c>
      <c r="F61" s="10">
        <v>1727</v>
      </c>
      <c r="G61" s="1"/>
      <c r="H61" s="30">
        <v>50</v>
      </c>
      <c r="I61" s="7">
        <f t="shared" si="12"/>
        <v>50</v>
      </c>
      <c r="J61" s="7">
        <v>0</v>
      </c>
      <c r="K61" s="7">
        <v>310</v>
      </c>
      <c r="L61" s="7">
        <v>0</v>
      </c>
      <c r="M61" s="7">
        <v>0</v>
      </c>
      <c r="N61" s="7">
        <v>0</v>
      </c>
      <c r="O61" s="7">
        <v>3</v>
      </c>
      <c r="P61" s="7">
        <v>3</v>
      </c>
      <c r="Q61" s="7">
        <v>0</v>
      </c>
      <c r="R61" s="1">
        <f t="shared" si="21"/>
        <v>316</v>
      </c>
      <c r="S61" s="7">
        <f t="shared" si="14"/>
        <v>366</v>
      </c>
      <c r="T61" s="10">
        <f t="shared" si="15"/>
        <v>234</v>
      </c>
      <c r="U61" s="8">
        <f t="shared" si="16"/>
        <v>0.61</v>
      </c>
      <c r="V61" s="8">
        <f t="shared" si="17"/>
        <v>0.39</v>
      </c>
      <c r="W61" s="8">
        <f t="shared" si="18"/>
        <v>0</v>
      </c>
      <c r="X61" s="8">
        <f t="shared" si="19"/>
        <v>8.3333333333333329E-2</v>
      </c>
      <c r="Y61" s="8">
        <f t="shared" si="20"/>
        <v>0.52666666666666662</v>
      </c>
    </row>
    <row r="62" spans="1:25">
      <c r="A62" s="1">
        <v>59</v>
      </c>
      <c r="B62" s="22" t="s">
        <v>65</v>
      </c>
      <c r="C62" s="22" t="s">
        <v>71</v>
      </c>
      <c r="D62" s="6">
        <v>44658</v>
      </c>
      <c r="E62" s="10">
        <v>1002</v>
      </c>
      <c r="F62" s="10">
        <v>3042</v>
      </c>
      <c r="G62" s="1"/>
      <c r="H62" s="30">
        <v>18</v>
      </c>
      <c r="I62" s="7">
        <f t="shared" si="12"/>
        <v>18</v>
      </c>
      <c r="J62" s="7">
        <v>0</v>
      </c>
      <c r="K62" s="7">
        <v>807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1">
        <f t="shared" si="21"/>
        <v>807</v>
      </c>
      <c r="S62" s="7">
        <f t="shared" si="14"/>
        <v>825</v>
      </c>
      <c r="T62" s="10">
        <f t="shared" si="15"/>
        <v>177</v>
      </c>
      <c r="U62" s="8">
        <f t="shared" si="16"/>
        <v>0.82335329341317365</v>
      </c>
      <c r="V62" s="8">
        <f t="shared" si="17"/>
        <v>0.17664670658682635</v>
      </c>
      <c r="W62" s="8">
        <f t="shared" si="18"/>
        <v>0</v>
      </c>
      <c r="X62" s="8">
        <f t="shared" si="19"/>
        <v>1.7964071856287425E-2</v>
      </c>
      <c r="Y62" s="8">
        <f t="shared" si="20"/>
        <v>0.80538922155688619</v>
      </c>
    </row>
    <row r="63" spans="1:25">
      <c r="A63" s="1">
        <v>60</v>
      </c>
      <c r="B63" s="22" t="s">
        <v>65</v>
      </c>
      <c r="C63" s="22" t="s">
        <v>73</v>
      </c>
      <c r="D63" s="6" t="s">
        <v>74</v>
      </c>
      <c r="E63" s="10">
        <v>290</v>
      </c>
      <c r="F63" s="10">
        <v>930</v>
      </c>
      <c r="G63" s="1"/>
      <c r="H63" s="1"/>
      <c r="I63" s="7">
        <f t="shared" si="12"/>
        <v>0</v>
      </c>
      <c r="J63" s="7">
        <v>30</v>
      </c>
      <c r="K63" s="7">
        <v>8</v>
      </c>
      <c r="L63" s="7">
        <v>0</v>
      </c>
      <c r="M63" s="7">
        <v>127</v>
      </c>
      <c r="N63" s="7">
        <v>933</v>
      </c>
      <c r="O63" s="7">
        <v>0</v>
      </c>
      <c r="P63" s="7">
        <v>0</v>
      </c>
      <c r="Q63" s="7">
        <v>0</v>
      </c>
      <c r="R63" s="1">
        <f t="shared" si="21"/>
        <v>1098</v>
      </c>
      <c r="S63" s="7">
        <f t="shared" si="14"/>
        <v>1098</v>
      </c>
      <c r="T63" s="31">
        <f t="shared" si="15"/>
        <v>-808</v>
      </c>
      <c r="U63" s="8">
        <f t="shared" si="16"/>
        <v>3.7862068965517239</v>
      </c>
      <c r="V63" s="8">
        <f t="shared" si="17"/>
        <v>-2.7862068965517239</v>
      </c>
      <c r="W63" s="8">
        <f t="shared" si="18"/>
        <v>0</v>
      </c>
      <c r="X63" s="8">
        <f t="shared" si="19"/>
        <v>0</v>
      </c>
      <c r="Y63" s="8">
        <f t="shared" si="20"/>
        <v>3.7862068965517239</v>
      </c>
    </row>
    <row r="64" spans="1:25">
      <c r="A64" s="1">
        <v>61</v>
      </c>
      <c r="B64" s="22" t="s">
        <v>65</v>
      </c>
      <c r="C64" s="22" t="s">
        <v>92</v>
      </c>
      <c r="D64" s="6" t="s">
        <v>93</v>
      </c>
      <c r="E64" s="10">
        <v>289</v>
      </c>
      <c r="F64" s="10">
        <v>854</v>
      </c>
      <c r="G64" s="1"/>
      <c r="H64" s="30">
        <v>50</v>
      </c>
      <c r="I64" s="7">
        <f t="shared" si="12"/>
        <v>50</v>
      </c>
      <c r="J64" s="7">
        <v>0</v>
      </c>
      <c r="K64" s="7">
        <v>55</v>
      </c>
      <c r="L64" s="7">
        <v>0</v>
      </c>
      <c r="M64" s="7">
        <v>108</v>
      </c>
      <c r="N64" s="7">
        <v>1</v>
      </c>
      <c r="O64" s="7">
        <v>0</v>
      </c>
      <c r="P64" s="7">
        <v>0</v>
      </c>
      <c r="Q64" s="7">
        <v>0</v>
      </c>
      <c r="R64" s="1">
        <f t="shared" si="21"/>
        <v>164</v>
      </c>
      <c r="S64" s="7">
        <f t="shared" si="14"/>
        <v>214</v>
      </c>
      <c r="T64" s="10">
        <f t="shared" si="15"/>
        <v>75</v>
      </c>
      <c r="U64" s="8">
        <f t="shared" si="16"/>
        <v>0.74048442906574397</v>
      </c>
      <c r="V64" s="8">
        <f t="shared" si="17"/>
        <v>0.25951557093425603</v>
      </c>
      <c r="W64" s="8">
        <f t="shared" si="18"/>
        <v>0</v>
      </c>
      <c r="X64" s="8">
        <f t="shared" si="19"/>
        <v>0.17301038062283736</v>
      </c>
      <c r="Y64" s="8">
        <f t="shared" si="20"/>
        <v>0.56747404844290661</v>
      </c>
    </row>
    <row r="65" spans="1:25">
      <c r="A65" s="1">
        <v>62</v>
      </c>
      <c r="B65" s="22" t="s">
        <v>102</v>
      </c>
      <c r="C65" s="22" t="s">
        <v>110</v>
      </c>
      <c r="D65" s="6" t="s">
        <v>43</v>
      </c>
      <c r="E65" s="15">
        <v>488</v>
      </c>
      <c r="F65" s="15">
        <v>1439</v>
      </c>
      <c r="G65" s="1"/>
      <c r="H65" s="30">
        <v>245</v>
      </c>
      <c r="I65" s="1">
        <f t="shared" si="12"/>
        <v>245</v>
      </c>
      <c r="J65" s="7">
        <v>2</v>
      </c>
      <c r="K65" s="7">
        <v>150</v>
      </c>
      <c r="L65" s="7">
        <v>0</v>
      </c>
      <c r="M65" s="7">
        <v>1</v>
      </c>
      <c r="N65" s="7">
        <v>1</v>
      </c>
      <c r="O65" s="7">
        <v>1</v>
      </c>
      <c r="P65" s="7">
        <v>0</v>
      </c>
      <c r="Q65" s="7">
        <v>1</v>
      </c>
      <c r="R65" s="1">
        <f t="shared" ref="R65:R89" si="22">SUM(J65:Q65)</f>
        <v>156</v>
      </c>
      <c r="S65" s="1">
        <f t="shared" si="14"/>
        <v>401</v>
      </c>
      <c r="T65" s="1">
        <f t="shared" si="15"/>
        <v>87</v>
      </c>
      <c r="U65" s="8">
        <f t="shared" si="16"/>
        <v>0.82172131147540983</v>
      </c>
      <c r="V65" s="8">
        <f t="shared" si="17"/>
        <v>0.17827868852459017</v>
      </c>
      <c r="W65" s="8">
        <f t="shared" si="18"/>
        <v>0</v>
      </c>
      <c r="X65" s="8">
        <f t="shared" si="19"/>
        <v>0.50204918032786883</v>
      </c>
      <c r="Y65" s="8">
        <f t="shared" si="20"/>
        <v>0.31967213114754101</v>
      </c>
    </row>
    <row r="66" spans="1:25">
      <c r="A66" s="1">
        <v>63</v>
      </c>
      <c r="B66" s="22" t="s">
        <v>102</v>
      </c>
      <c r="C66" s="23" t="s">
        <v>128</v>
      </c>
      <c r="D66" s="6">
        <v>44713</v>
      </c>
      <c r="E66" s="15">
        <v>259</v>
      </c>
      <c r="F66" s="15">
        <v>771</v>
      </c>
      <c r="G66" s="1"/>
      <c r="H66" s="30">
        <v>236</v>
      </c>
      <c r="I66" s="1">
        <f t="shared" si="12"/>
        <v>236</v>
      </c>
      <c r="J66" s="7">
        <v>1</v>
      </c>
      <c r="K66" s="7">
        <v>50</v>
      </c>
      <c r="L66" s="7">
        <v>0</v>
      </c>
      <c r="M66" s="7">
        <v>0</v>
      </c>
      <c r="N66" s="7">
        <v>4</v>
      </c>
      <c r="O66" s="7">
        <v>0</v>
      </c>
      <c r="P66" s="7">
        <v>11</v>
      </c>
      <c r="Q66" s="7">
        <v>1</v>
      </c>
      <c r="R66" s="1">
        <f t="shared" si="22"/>
        <v>67</v>
      </c>
      <c r="S66" s="1">
        <f t="shared" si="14"/>
        <v>303</v>
      </c>
      <c r="T66" s="30">
        <f t="shared" si="15"/>
        <v>-44</v>
      </c>
      <c r="U66" s="8">
        <f t="shared" si="16"/>
        <v>1.16988416988417</v>
      </c>
      <c r="V66" s="8">
        <f t="shared" si="17"/>
        <v>-0.16988416988416988</v>
      </c>
      <c r="W66" s="8">
        <f t="shared" si="18"/>
        <v>0</v>
      </c>
      <c r="X66" s="8">
        <f t="shared" si="19"/>
        <v>0.91119691119691115</v>
      </c>
      <c r="Y66" s="8">
        <f t="shared" si="20"/>
        <v>0.25868725868725867</v>
      </c>
    </row>
    <row r="67" spans="1:25">
      <c r="A67" s="1">
        <v>64</v>
      </c>
      <c r="B67" s="22" t="s">
        <v>102</v>
      </c>
      <c r="C67" s="22" t="s">
        <v>121</v>
      </c>
      <c r="D67" s="6" t="s">
        <v>122</v>
      </c>
      <c r="E67" s="15">
        <v>65</v>
      </c>
      <c r="F67" s="15">
        <v>225</v>
      </c>
      <c r="G67" s="1"/>
      <c r="H67" s="1"/>
      <c r="I67" s="1">
        <f t="shared" si="12"/>
        <v>0</v>
      </c>
      <c r="J67" s="7">
        <v>0</v>
      </c>
      <c r="K67" s="7">
        <v>5</v>
      </c>
      <c r="L67" s="7">
        <v>0</v>
      </c>
      <c r="M67" s="7">
        <v>0</v>
      </c>
      <c r="N67" s="7">
        <v>50</v>
      </c>
      <c r="O67" s="7">
        <v>1</v>
      </c>
      <c r="P67" s="7">
        <v>1</v>
      </c>
      <c r="Q67" s="7">
        <v>1</v>
      </c>
      <c r="R67" s="1">
        <f t="shared" si="22"/>
        <v>58</v>
      </c>
      <c r="S67" s="1">
        <f t="shared" si="14"/>
        <v>58</v>
      </c>
      <c r="T67" s="1">
        <f t="shared" si="15"/>
        <v>7</v>
      </c>
      <c r="U67" s="8">
        <f t="shared" si="16"/>
        <v>0.89230769230769236</v>
      </c>
      <c r="V67" s="8">
        <f t="shared" si="17"/>
        <v>0.1076923076923077</v>
      </c>
      <c r="W67" s="8">
        <f t="shared" si="18"/>
        <v>0</v>
      </c>
      <c r="X67" s="8">
        <f t="shared" si="19"/>
        <v>0</v>
      </c>
      <c r="Y67" s="8">
        <f t="shared" si="20"/>
        <v>0.89230769230769236</v>
      </c>
    </row>
    <row r="68" spans="1:25">
      <c r="A68" s="1">
        <v>65</v>
      </c>
      <c r="B68" s="22" t="s">
        <v>102</v>
      </c>
      <c r="C68" s="22" t="s">
        <v>102</v>
      </c>
      <c r="D68" s="6"/>
      <c r="E68" s="15">
        <v>1791</v>
      </c>
      <c r="F68" s="15">
        <v>5589</v>
      </c>
      <c r="G68" s="110">
        <v>1007</v>
      </c>
      <c r="H68" s="1"/>
      <c r="I68" s="1">
        <f t="shared" si="12"/>
        <v>1007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">
        <f t="shared" si="22"/>
        <v>0</v>
      </c>
      <c r="S68" s="1">
        <f t="shared" ref="S68:S99" si="23">R68+I68</f>
        <v>1007</v>
      </c>
      <c r="T68" s="1">
        <f t="shared" ref="T68:T99" si="24">E68-S68</f>
        <v>784</v>
      </c>
      <c r="U68" s="8">
        <f t="shared" ref="U68:U99" si="25">S68/E68</f>
        <v>0.56225572305974314</v>
      </c>
      <c r="V68" s="8">
        <f t="shared" ref="V68:V99" si="26">T68/E68</f>
        <v>0.43774427694025686</v>
      </c>
      <c r="W68" s="8">
        <f t="shared" ref="W68:W99" si="27">G68/E68</f>
        <v>0.56225572305974314</v>
      </c>
      <c r="X68" s="8">
        <f t="shared" ref="X68:X99" si="28">I68/E68</f>
        <v>0.56225572305974314</v>
      </c>
      <c r="Y68" s="8">
        <f t="shared" ref="Y68:Y99" si="29">R68/E68</f>
        <v>0</v>
      </c>
    </row>
    <row r="69" spans="1:25">
      <c r="A69" s="1">
        <v>66</v>
      </c>
      <c r="B69" s="22" t="s">
        <v>102</v>
      </c>
      <c r="C69" s="22" t="s">
        <v>126</v>
      </c>
      <c r="D69" s="6" t="s">
        <v>127</v>
      </c>
      <c r="E69" s="15">
        <v>489</v>
      </c>
      <c r="F69" s="15">
        <v>1440</v>
      </c>
      <c r="G69" s="1"/>
      <c r="H69" s="1"/>
      <c r="I69" s="1">
        <f t="shared" si="12"/>
        <v>0</v>
      </c>
      <c r="J69" s="7">
        <v>0</v>
      </c>
      <c r="K69" s="7">
        <v>217</v>
      </c>
      <c r="L69" s="7">
        <v>0</v>
      </c>
      <c r="M69" s="7">
        <v>0</v>
      </c>
      <c r="N69" s="7">
        <v>0</v>
      </c>
      <c r="O69" s="7">
        <v>4</v>
      </c>
      <c r="P69" s="7">
        <v>2</v>
      </c>
      <c r="Q69" s="7">
        <v>0</v>
      </c>
      <c r="R69" s="1">
        <f t="shared" si="22"/>
        <v>223</v>
      </c>
      <c r="S69" s="1">
        <f t="shared" si="23"/>
        <v>223</v>
      </c>
      <c r="T69" s="1">
        <f t="shared" si="24"/>
        <v>266</v>
      </c>
      <c r="U69" s="8">
        <f t="shared" si="25"/>
        <v>0.45603271983640081</v>
      </c>
      <c r="V69" s="8">
        <f t="shared" si="26"/>
        <v>0.54396728016359919</v>
      </c>
      <c r="W69" s="8">
        <f t="shared" si="27"/>
        <v>0</v>
      </c>
      <c r="X69" s="8">
        <f t="shared" si="28"/>
        <v>0</v>
      </c>
      <c r="Y69" s="8">
        <f t="shared" si="29"/>
        <v>0.45603271983640081</v>
      </c>
    </row>
    <row r="70" spans="1:25">
      <c r="A70" s="1">
        <v>67</v>
      </c>
      <c r="B70" s="22" t="s">
        <v>102</v>
      </c>
      <c r="C70" s="23" t="s">
        <v>123</v>
      </c>
      <c r="D70" s="6">
        <v>44745</v>
      </c>
      <c r="E70" s="15">
        <v>298</v>
      </c>
      <c r="F70" s="15">
        <v>858</v>
      </c>
      <c r="G70" s="1"/>
      <c r="H70" s="1"/>
      <c r="I70" s="1">
        <f t="shared" si="12"/>
        <v>0</v>
      </c>
      <c r="J70" s="7">
        <v>15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1">
        <f t="shared" si="22"/>
        <v>16</v>
      </c>
      <c r="S70" s="1">
        <f t="shared" si="23"/>
        <v>16</v>
      </c>
      <c r="T70" s="1">
        <f t="shared" si="24"/>
        <v>282</v>
      </c>
      <c r="U70" s="8">
        <f t="shared" si="25"/>
        <v>5.3691275167785234E-2</v>
      </c>
      <c r="V70" s="8">
        <f t="shared" si="26"/>
        <v>0.94630872483221473</v>
      </c>
      <c r="W70" s="8">
        <f t="shared" si="27"/>
        <v>0</v>
      </c>
      <c r="X70" s="8">
        <f t="shared" si="28"/>
        <v>0</v>
      </c>
      <c r="Y70" s="8">
        <f t="shared" si="29"/>
        <v>5.3691275167785234E-2</v>
      </c>
    </row>
    <row r="71" spans="1:25">
      <c r="A71" s="1">
        <v>68</v>
      </c>
      <c r="B71" s="22" t="s">
        <v>102</v>
      </c>
      <c r="C71" s="22" t="s">
        <v>111</v>
      </c>
      <c r="D71" s="6" t="s">
        <v>93</v>
      </c>
      <c r="E71" s="15">
        <v>1283</v>
      </c>
      <c r="F71" s="15">
        <v>3825</v>
      </c>
      <c r="G71" s="1"/>
      <c r="H71" s="1"/>
      <c r="I71" s="1">
        <f t="shared" si="12"/>
        <v>0</v>
      </c>
      <c r="J71" s="7">
        <v>0</v>
      </c>
      <c r="K71" s="7">
        <v>500</v>
      </c>
      <c r="L71" s="7">
        <v>0</v>
      </c>
      <c r="M71" s="7">
        <v>500</v>
      </c>
      <c r="N71" s="7">
        <v>0</v>
      </c>
      <c r="O71" s="7">
        <v>2</v>
      </c>
      <c r="P71" s="7">
        <v>5</v>
      </c>
      <c r="Q71" s="7">
        <v>0</v>
      </c>
      <c r="R71" s="1">
        <f t="shared" si="22"/>
        <v>1007</v>
      </c>
      <c r="S71" s="1">
        <f t="shared" si="23"/>
        <v>1007</v>
      </c>
      <c r="T71" s="1">
        <f t="shared" si="24"/>
        <v>276</v>
      </c>
      <c r="U71" s="8">
        <f t="shared" si="25"/>
        <v>0.78487918939984413</v>
      </c>
      <c r="V71" s="8">
        <f t="shared" si="26"/>
        <v>0.21512081060015589</v>
      </c>
      <c r="W71" s="8">
        <f t="shared" si="27"/>
        <v>0</v>
      </c>
      <c r="X71" s="8">
        <f t="shared" si="28"/>
        <v>0</v>
      </c>
      <c r="Y71" s="8">
        <f t="shared" si="29"/>
        <v>0.78487918939984413</v>
      </c>
    </row>
    <row r="72" spans="1:25">
      <c r="A72" s="1">
        <v>69</v>
      </c>
      <c r="B72" s="22" t="s">
        <v>102</v>
      </c>
      <c r="C72" s="23" t="s">
        <v>113</v>
      </c>
      <c r="D72" s="6" t="s">
        <v>87</v>
      </c>
      <c r="E72" s="15">
        <v>246</v>
      </c>
      <c r="F72" s="15">
        <v>771</v>
      </c>
      <c r="G72" s="1"/>
      <c r="H72" s="1"/>
      <c r="I72" s="1">
        <f t="shared" si="12"/>
        <v>0</v>
      </c>
      <c r="J72" s="7">
        <v>0</v>
      </c>
      <c r="K72" s="7">
        <v>0</v>
      </c>
      <c r="L72" s="7">
        <v>0</v>
      </c>
      <c r="M72" s="7">
        <v>0</v>
      </c>
      <c r="N72" s="7">
        <v>1</v>
      </c>
      <c r="O72" s="7">
        <v>1</v>
      </c>
      <c r="P72" s="7">
        <v>1</v>
      </c>
      <c r="Q72" s="7">
        <v>1</v>
      </c>
      <c r="R72" s="1">
        <f t="shared" si="22"/>
        <v>4</v>
      </c>
      <c r="S72" s="1">
        <f t="shared" si="23"/>
        <v>4</v>
      </c>
      <c r="T72" s="1">
        <f t="shared" si="24"/>
        <v>242</v>
      </c>
      <c r="U72" s="8">
        <f t="shared" si="25"/>
        <v>1.6260162601626018E-2</v>
      </c>
      <c r="V72" s="8">
        <f t="shared" si="26"/>
        <v>0.98373983739837401</v>
      </c>
      <c r="W72" s="8">
        <f t="shared" si="27"/>
        <v>0</v>
      </c>
      <c r="X72" s="8">
        <f t="shared" si="28"/>
        <v>0</v>
      </c>
      <c r="Y72" s="8">
        <f t="shared" si="29"/>
        <v>1.6260162601626018E-2</v>
      </c>
    </row>
    <row r="73" spans="1:25">
      <c r="A73" s="1">
        <v>70</v>
      </c>
      <c r="B73" s="22" t="s">
        <v>102</v>
      </c>
      <c r="C73" s="22" t="s">
        <v>114</v>
      </c>
      <c r="D73" s="6">
        <v>44780</v>
      </c>
      <c r="E73" s="15">
        <v>305</v>
      </c>
      <c r="F73" s="15">
        <v>984</v>
      </c>
      <c r="G73" s="1"/>
      <c r="H73" s="30">
        <v>193</v>
      </c>
      <c r="I73" s="1">
        <f t="shared" si="12"/>
        <v>193</v>
      </c>
      <c r="J73" s="7">
        <v>1</v>
      </c>
      <c r="K73" s="7">
        <v>200</v>
      </c>
      <c r="L73" s="7">
        <v>0</v>
      </c>
      <c r="M73" s="7">
        <v>2</v>
      </c>
      <c r="N73" s="7">
        <v>0</v>
      </c>
      <c r="O73" s="7">
        <v>5</v>
      </c>
      <c r="P73" s="7">
        <v>0</v>
      </c>
      <c r="Q73" s="7">
        <v>0</v>
      </c>
      <c r="R73" s="1">
        <f t="shared" si="22"/>
        <v>208</v>
      </c>
      <c r="S73" s="1">
        <f t="shared" si="23"/>
        <v>401</v>
      </c>
      <c r="T73" s="30">
        <f t="shared" si="24"/>
        <v>-96</v>
      </c>
      <c r="U73" s="8">
        <f t="shared" si="25"/>
        <v>1.3147540983606558</v>
      </c>
      <c r="V73" s="8">
        <f t="shared" si="26"/>
        <v>-0.31475409836065577</v>
      </c>
      <c r="W73" s="8">
        <f t="shared" si="27"/>
        <v>0</v>
      </c>
      <c r="X73" s="8">
        <f t="shared" si="28"/>
        <v>0.63278688524590165</v>
      </c>
      <c r="Y73" s="8">
        <f t="shared" si="29"/>
        <v>0.68196721311475406</v>
      </c>
    </row>
    <row r="74" spans="1:25">
      <c r="A74" s="1">
        <v>71</v>
      </c>
      <c r="B74" s="22" t="s">
        <v>102</v>
      </c>
      <c r="C74" s="22" t="s">
        <v>112</v>
      </c>
      <c r="D74" s="6">
        <v>44594</v>
      </c>
      <c r="E74" s="15">
        <v>341</v>
      </c>
      <c r="F74" s="15">
        <v>998</v>
      </c>
      <c r="G74" s="1"/>
      <c r="H74" s="30">
        <v>256</v>
      </c>
      <c r="I74" s="1">
        <f t="shared" si="12"/>
        <v>256</v>
      </c>
      <c r="J74" s="7">
        <v>0</v>
      </c>
      <c r="K74" s="7">
        <v>124</v>
      </c>
      <c r="L74" s="7">
        <v>9</v>
      </c>
      <c r="M74" s="7">
        <v>0</v>
      </c>
      <c r="N74" s="7">
        <v>0</v>
      </c>
      <c r="O74" s="7">
        <v>6</v>
      </c>
      <c r="P74" s="7">
        <v>0</v>
      </c>
      <c r="Q74" s="7">
        <v>1</v>
      </c>
      <c r="R74" s="1">
        <f t="shared" si="22"/>
        <v>140</v>
      </c>
      <c r="S74" s="1">
        <f t="shared" si="23"/>
        <v>396</v>
      </c>
      <c r="T74" s="30">
        <f t="shared" si="24"/>
        <v>-55</v>
      </c>
      <c r="U74" s="8">
        <f t="shared" si="25"/>
        <v>1.1612903225806452</v>
      </c>
      <c r="V74" s="8">
        <f t="shared" si="26"/>
        <v>-0.16129032258064516</v>
      </c>
      <c r="W74" s="8">
        <f t="shared" si="27"/>
        <v>0</v>
      </c>
      <c r="X74" s="8">
        <f t="shared" si="28"/>
        <v>0.75073313782991202</v>
      </c>
      <c r="Y74" s="8">
        <f t="shared" si="29"/>
        <v>0.41055718475073316</v>
      </c>
    </row>
    <row r="75" spans="1:25">
      <c r="A75" s="1">
        <v>72</v>
      </c>
      <c r="B75" s="22" t="s">
        <v>102</v>
      </c>
      <c r="C75" s="23" t="s">
        <v>109</v>
      </c>
      <c r="D75" s="6" t="s">
        <v>63</v>
      </c>
      <c r="E75" s="15">
        <v>268</v>
      </c>
      <c r="F75" s="15">
        <v>764</v>
      </c>
      <c r="G75" s="1"/>
      <c r="H75" s="30">
        <v>60</v>
      </c>
      <c r="I75" s="1">
        <f t="shared" si="12"/>
        <v>60</v>
      </c>
      <c r="J75" s="7">
        <v>1</v>
      </c>
      <c r="K75" s="7">
        <v>0</v>
      </c>
      <c r="L75" s="7">
        <v>0</v>
      </c>
      <c r="M75" s="7">
        <v>100</v>
      </c>
      <c r="N75" s="7">
        <v>0</v>
      </c>
      <c r="O75" s="7">
        <v>0</v>
      </c>
      <c r="P75" s="7">
        <v>0</v>
      </c>
      <c r="Q75" s="7">
        <v>1</v>
      </c>
      <c r="R75" s="1">
        <f t="shared" si="22"/>
        <v>102</v>
      </c>
      <c r="S75" s="1">
        <f t="shared" si="23"/>
        <v>162</v>
      </c>
      <c r="T75" s="1">
        <f t="shared" si="24"/>
        <v>106</v>
      </c>
      <c r="U75" s="8">
        <f t="shared" si="25"/>
        <v>0.60447761194029848</v>
      </c>
      <c r="V75" s="8">
        <f t="shared" si="26"/>
        <v>0.39552238805970147</v>
      </c>
      <c r="W75" s="8">
        <f t="shared" si="27"/>
        <v>0</v>
      </c>
      <c r="X75" s="8">
        <f t="shared" si="28"/>
        <v>0.22388059701492538</v>
      </c>
      <c r="Y75" s="8">
        <f t="shared" si="29"/>
        <v>0.38059701492537312</v>
      </c>
    </row>
    <row r="76" spans="1:25">
      <c r="A76" s="1">
        <v>73</v>
      </c>
      <c r="B76" s="22" t="s">
        <v>102</v>
      </c>
      <c r="C76" s="22" t="s">
        <v>119</v>
      </c>
      <c r="D76" s="6" t="s">
        <v>120</v>
      </c>
      <c r="E76" s="15">
        <v>207</v>
      </c>
      <c r="F76" s="15">
        <v>658</v>
      </c>
      <c r="G76" s="1"/>
      <c r="H76" s="1"/>
      <c r="I76" s="1">
        <f t="shared" si="12"/>
        <v>0</v>
      </c>
      <c r="J76" s="7">
        <v>4</v>
      </c>
      <c r="K76" s="7">
        <v>0</v>
      </c>
      <c r="L76" s="7">
        <v>0</v>
      </c>
      <c r="M76" s="7">
        <v>50</v>
      </c>
      <c r="N76" s="7">
        <v>200</v>
      </c>
      <c r="O76" s="7">
        <v>0</v>
      </c>
      <c r="P76" s="7">
        <v>0</v>
      </c>
      <c r="Q76" s="7">
        <v>0</v>
      </c>
      <c r="R76" s="1">
        <f t="shared" si="22"/>
        <v>254</v>
      </c>
      <c r="S76" s="1">
        <f t="shared" si="23"/>
        <v>254</v>
      </c>
      <c r="T76" s="30">
        <f t="shared" si="24"/>
        <v>-47</v>
      </c>
      <c r="U76" s="8">
        <f t="shared" si="25"/>
        <v>1.2270531400966183</v>
      </c>
      <c r="V76" s="8">
        <f t="shared" si="26"/>
        <v>-0.22705314009661837</v>
      </c>
      <c r="W76" s="8">
        <f t="shared" si="27"/>
        <v>0</v>
      </c>
      <c r="X76" s="8">
        <f t="shared" si="28"/>
        <v>0</v>
      </c>
      <c r="Y76" s="8">
        <f t="shared" si="29"/>
        <v>1.2270531400966183</v>
      </c>
    </row>
    <row r="77" spans="1:25">
      <c r="A77" s="1">
        <v>74</v>
      </c>
      <c r="B77" s="22" t="s">
        <v>102</v>
      </c>
      <c r="C77" s="22" t="s">
        <v>116</v>
      </c>
      <c r="D77" s="6">
        <v>44690</v>
      </c>
      <c r="E77" s="15">
        <v>189</v>
      </c>
      <c r="F77" s="15">
        <v>607</v>
      </c>
      <c r="G77" s="1"/>
      <c r="H77" s="30">
        <v>100</v>
      </c>
      <c r="I77" s="1">
        <f t="shared" si="12"/>
        <v>100</v>
      </c>
      <c r="J77" s="7">
        <v>0</v>
      </c>
      <c r="K77" s="7">
        <v>53</v>
      </c>
      <c r="L77" s="7">
        <v>0</v>
      </c>
      <c r="M77" s="7">
        <v>12</v>
      </c>
      <c r="N77" s="7">
        <v>0</v>
      </c>
      <c r="O77" s="7">
        <v>1</v>
      </c>
      <c r="P77" s="7">
        <v>1</v>
      </c>
      <c r="Q77" s="7">
        <v>1</v>
      </c>
      <c r="R77" s="1">
        <f t="shared" si="22"/>
        <v>68</v>
      </c>
      <c r="S77" s="1">
        <f t="shared" si="23"/>
        <v>168</v>
      </c>
      <c r="T77" s="1">
        <f t="shared" si="24"/>
        <v>21</v>
      </c>
      <c r="U77" s="8">
        <f t="shared" si="25"/>
        <v>0.88888888888888884</v>
      </c>
      <c r="V77" s="8">
        <f t="shared" si="26"/>
        <v>0.1111111111111111</v>
      </c>
      <c r="W77" s="8">
        <f t="shared" si="27"/>
        <v>0</v>
      </c>
      <c r="X77" s="8">
        <f t="shared" si="28"/>
        <v>0.52910052910052907</v>
      </c>
      <c r="Y77" s="8">
        <f t="shared" si="29"/>
        <v>0.35978835978835977</v>
      </c>
    </row>
    <row r="78" spans="1:25">
      <c r="A78" s="1">
        <v>75</v>
      </c>
      <c r="B78" s="22" t="s">
        <v>102</v>
      </c>
      <c r="C78" s="23" t="s">
        <v>103</v>
      </c>
      <c r="D78" s="6" t="s">
        <v>61</v>
      </c>
      <c r="E78" s="15">
        <v>691</v>
      </c>
      <c r="F78" s="15">
        <v>2367</v>
      </c>
      <c r="G78" s="1"/>
      <c r="H78" s="1"/>
      <c r="I78" s="1">
        <f t="shared" si="12"/>
        <v>0</v>
      </c>
      <c r="J78" s="7">
        <v>34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4</v>
      </c>
      <c r="R78" s="1">
        <f t="shared" si="22"/>
        <v>38</v>
      </c>
      <c r="S78" s="1">
        <f t="shared" si="23"/>
        <v>38</v>
      </c>
      <c r="T78" s="1">
        <f t="shared" si="24"/>
        <v>653</v>
      </c>
      <c r="U78" s="8">
        <f t="shared" si="25"/>
        <v>5.4992764109985527E-2</v>
      </c>
      <c r="V78" s="8">
        <f t="shared" si="26"/>
        <v>0.94500723589001445</v>
      </c>
      <c r="W78" s="8">
        <f t="shared" si="27"/>
        <v>0</v>
      </c>
      <c r="X78" s="8">
        <f t="shared" si="28"/>
        <v>0</v>
      </c>
      <c r="Y78" s="8">
        <f t="shared" si="29"/>
        <v>5.4992764109985527E-2</v>
      </c>
    </row>
    <row r="79" spans="1:25">
      <c r="A79" s="1">
        <v>76</v>
      </c>
      <c r="B79" s="22" t="s">
        <v>102</v>
      </c>
      <c r="C79" s="23" t="s">
        <v>130</v>
      </c>
      <c r="D79" s="6"/>
      <c r="E79" s="15">
        <v>274</v>
      </c>
      <c r="F79" s="15">
        <v>847</v>
      </c>
      <c r="G79" s="1"/>
      <c r="H79" s="1"/>
      <c r="I79" s="1">
        <f t="shared" si="12"/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">
        <f t="shared" si="22"/>
        <v>0</v>
      </c>
      <c r="S79" s="1">
        <f t="shared" si="23"/>
        <v>0</v>
      </c>
      <c r="T79" s="1">
        <f t="shared" si="24"/>
        <v>274</v>
      </c>
      <c r="U79" s="8">
        <f t="shared" si="25"/>
        <v>0</v>
      </c>
      <c r="V79" s="8">
        <f t="shared" si="26"/>
        <v>1</v>
      </c>
      <c r="W79" s="8">
        <f t="shared" si="27"/>
        <v>0</v>
      </c>
      <c r="X79" s="8">
        <f t="shared" si="28"/>
        <v>0</v>
      </c>
      <c r="Y79" s="8">
        <f t="shared" si="29"/>
        <v>0</v>
      </c>
    </row>
    <row r="80" spans="1:25">
      <c r="A80" s="1">
        <v>77</v>
      </c>
      <c r="B80" s="22" t="s">
        <v>102</v>
      </c>
      <c r="C80" s="22" t="s">
        <v>115</v>
      </c>
      <c r="D80" s="6">
        <v>44744</v>
      </c>
      <c r="E80" s="15">
        <v>235</v>
      </c>
      <c r="F80" s="15">
        <v>745</v>
      </c>
      <c r="G80" s="1"/>
      <c r="H80" s="30">
        <v>119</v>
      </c>
      <c r="I80" s="1">
        <f t="shared" si="12"/>
        <v>119</v>
      </c>
      <c r="J80" s="7">
        <v>1</v>
      </c>
      <c r="K80" s="7">
        <v>0</v>
      </c>
      <c r="L80" s="7">
        <v>0</v>
      </c>
      <c r="M80" s="7">
        <v>1</v>
      </c>
      <c r="N80" s="7">
        <v>0</v>
      </c>
      <c r="O80" s="7">
        <v>1</v>
      </c>
      <c r="P80" s="7">
        <v>1</v>
      </c>
      <c r="Q80" s="7">
        <v>1</v>
      </c>
      <c r="R80" s="1">
        <f t="shared" si="22"/>
        <v>5</v>
      </c>
      <c r="S80" s="1">
        <f t="shared" si="23"/>
        <v>124</v>
      </c>
      <c r="T80" s="1">
        <f t="shared" si="24"/>
        <v>111</v>
      </c>
      <c r="U80" s="8">
        <f t="shared" si="25"/>
        <v>0.52765957446808509</v>
      </c>
      <c r="V80" s="8">
        <f t="shared" si="26"/>
        <v>0.47234042553191491</v>
      </c>
      <c r="W80" s="8">
        <f t="shared" si="27"/>
        <v>0</v>
      </c>
      <c r="X80" s="8">
        <f t="shared" si="28"/>
        <v>0.50638297872340421</v>
      </c>
      <c r="Y80" s="8">
        <f t="shared" si="29"/>
        <v>2.1276595744680851E-2</v>
      </c>
    </row>
    <row r="81" spans="1:25">
      <c r="A81" s="1">
        <v>78</v>
      </c>
      <c r="B81" s="22" t="s">
        <v>102</v>
      </c>
      <c r="C81" s="22" t="s">
        <v>117</v>
      </c>
      <c r="D81" s="6">
        <v>44233</v>
      </c>
      <c r="E81" s="15">
        <v>89</v>
      </c>
      <c r="F81" s="15">
        <v>277</v>
      </c>
      <c r="G81" s="1"/>
      <c r="H81" s="1"/>
      <c r="I81" s="1">
        <f t="shared" si="12"/>
        <v>0</v>
      </c>
      <c r="J81" s="7">
        <v>0</v>
      </c>
      <c r="K81" s="7">
        <v>5</v>
      </c>
      <c r="L81" s="7">
        <v>0</v>
      </c>
      <c r="M81" s="7">
        <v>50</v>
      </c>
      <c r="N81" s="7">
        <v>0</v>
      </c>
      <c r="O81" s="7">
        <v>0</v>
      </c>
      <c r="P81" s="7">
        <v>0</v>
      </c>
      <c r="Q81" s="7">
        <v>1</v>
      </c>
      <c r="R81" s="1">
        <f t="shared" si="22"/>
        <v>56</v>
      </c>
      <c r="S81" s="1">
        <f t="shared" si="23"/>
        <v>56</v>
      </c>
      <c r="T81" s="1">
        <f t="shared" si="24"/>
        <v>33</v>
      </c>
      <c r="U81" s="8">
        <f t="shared" si="25"/>
        <v>0.6292134831460674</v>
      </c>
      <c r="V81" s="8">
        <f t="shared" si="26"/>
        <v>0.3707865168539326</v>
      </c>
      <c r="W81" s="8">
        <f t="shared" si="27"/>
        <v>0</v>
      </c>
      <c r="X81" s="8">
        <f t="shared" si="28"/>
        <v>0</v>
      </c>
      <c r="Y81" s="8">
        <f t="shared" si="29"/>
        <v>0.6292134831460674</v>
      </c>
    </row>
    <row r="82" spans="1:25">
      <c r="A82" s="1">
        <v>79</v>
      </c>
      <c r="B82" s="22" t="s">
        <v>102</v>
      </c>
      <c r="C82" s="22" t="s">
        <v>124</v>
      </c>
      <c r="D82" s="6" t="s">
        <v>125</v>
      </c>
      <c r="E82" s="15">
        <v>264</v>
      </c>
      <c r="F82" s="15">
        <v>954</v>
      </c>
      <c r="G82" s="1"/>
      <c r="H82" s="1"/>
      <c r="I82" s="1">
        <f t="shared" si="12"/>
        <v>0</v>
      </c>
      <c r="J82" s="7">
        <v>0</v>
      </c>
      <c r="K82" s="7">
        <v>0</v>
      </c>
      <c r="L82" s="7">
        <v>0</v>
      </c>
      <c r="M82" s="7">
        <v>215</v>
      </c>
      <c r="N82" s="7">
        <v>0</v>
      </c>
      <c r="O82" s="7">
        <v>0</v>
      </c>
      <c r="P82" s="7">
        <v>0</v>
      </c>
      <c r="Q82" s="7">
        <v>0</v>
      </c>
      <c r="R82" s="1">
        <f t="shared" si="22"/>
        <v>215</v>
      </c>
      <c r="S82" s="1">
        <f t="shared" si="23"/>
        <v>215</v>
      </c>
      <c r="T82" s="1">
        <f t="shared" si="24"/>
        <v>49</v>
      </c>
      <c r="U82" s="8">
        <f t="shared" si="25"/>
        <v>0.81439393939393945</v>
      </c>
      <c r="V82" s="8">
        <f t="shared" si="26"/>
        <v>0.18560606060606061</v>
      </c>
      <c r="W82" s="8">
        <f t="shared" si="27"/>
        <v>0</v>
      </c>
      <c r="X82" s="8">
        <f t="shared" si="28"/>
        <v>0</v>
      </c>
      <c r="Y82" s="8">
        <f t="shared" si="29"/>
        <v>0.81439393939393945</v>
      </c>
    </row>
    <row r="83" spans="1:25">
      <c r="A83" s="1">
        <v>80</v>
      </c>
      <c r="B83" s="22" t="s">
        <v>102</v>
      </c>
      <c r="C83" s="23" t="s">
        <v>118</v>
      </c>
      <c r="D83" s="6">
        <v>44693</v>
      </c>
      <c r="E83" s="15">
        <v>155</v>
      </c>
      <c r="F83" s="15">
        <v>466</v>
      </c>
      <c r="G83" s="1"/>
      <c r="H83" s="1"/>
      <c r="I83" s="1">
        <f t="shared" si="12"/>
        <v>0</v>
      </c>
      <c r="J83" s="7">
        <v>3</v>
      </c>
      <c r="K83" s="7">
        <v>9</v>
      </c>
      <c r="L83" s="7">
        <v>0</v>
      </c>
      <c r="M83" s="7">
        <v>10</v>
      </c>
      <c r="N83" s="7">
        <v>0</v>
      </c>
      <c r="O83" s="7">
        <v>0</v>
      </c>
      <c r="P83" s="7">
        <v>0</v>
      </c>
      <c r="Q83" s="7">
        <v>0</v>
      </c>
      <c r="R83" s="1">
        <f t="shared" si="22"/>
        <v>22</v>
      </c>
      <c r="S83" s="1">
        <f t="shared" si="23"/>
        <v>22</v>
      </c>
      <c r="T83" s="1">
        <f t="shared" si="24"/>
        <v>133</v>
      </c>
      <c r="U83" s="8">
        <f t="shared" si="25"/>
        <v>0.14193548387096774</v>
      </c>
      <c r="V83" s="8">
        <f t="shared" si="26"/>
        <v>0.85806451612903223</v>
      </c>
      <c r="W83" s="8">
        <f t="shared" si="27"/>
        <v>0</v>
      </c>
      <c r="X83" s="8">
        <f t="shared" si="28"/>
        <v>0</v>
      </c>
      <c r="Y83" s="8">
        <f t="shared" si="29"/>
        <v>0.14193548387096774</v>
      </c>
    </row>
    <row r="84" spans="1:25">
      <c r="A84" s="1">
        <v>81</v>
      </c>
      <c r="B84" s="22" t="s">
        <v>102</v>
      </c>
      <c r="C84" s="22" t="s">
        <v>129</v>
      </c>
      <c r="D84" s="6" t="s">
        <v>50</v>
      </c>
      <c r="E84" s="15">
        <v>304</v>
      </c>
      <c r="F84" s="15">
        <v>962</v>
      </c>
      <c r="G84" s="30">
        <v>161</v>
      </c>
      <c r="H84" s="30">
        <v>130</v>
      </c>
      <c r="I84" s="1">
        <f t="shared" si="12"/>
        <v>291</v>
      </c>
      <c r="J84" s="7">
        <v>0</v>
      </c>
      <c r="K84" s="7">
        <v>5</v>
      </c>
      <c r="L84" s="7">
        <v>0</v>
      </c>
      <c r="M84" s="32">
        <v>32</v>
      </c>
      <c r="N84" s="7">
        <v>45</v>
      </c>
      <c r="O84" s="7">
        <v>0</v>
      </c>
      <c r="P84" s="7">
        <v>1</v>
      </c>
      <c r="Q84" s="7">
        <v>1</v>
      </c>
      <c r="R84" s="1">
        <f t="shared" si="22"/>
        <v>84</v>
      </c>
      <c r="S84" s="1">
        <f t="shared" si="23"/>
        <v>375</v>
      </c>
      <c r="T84" s="30">
        <f t="shared" si="24"/>
        <v>-71</v>
      </c>
      <c r="U84" s="8">
        <f t="shared" si="25"/>
        <v>1.2335526315789473</v>
      </c>
      <c r="V84" s="8">
        <f t="shared" si="26"/>
        <v>-0.23355263157894737</v>
      </c>
      <c r="W84" s="8">
        <f t="shared" si="27"/>
        <v>0.52960526315789469</v>
      </c>
      <c r="X84" s="8">
        <f t="shared" si="28"/>
        <v>0.95723684210526316</v>
      </c>
      <c r="Y84" s="8">
        <f t="shared" si="29"/>
        <v>0.27631578947368424</v>
      </c>
    </row>
    <row r="85" spans="1:25">
      <c r="A85" s="1">
        <v>82</v>
      </c>
      <c r="B85" s="22" t="s">
        <v>102</v>
      </c>
      <c r="C85" s="23" t="s">
        <v>104</v>
      </c>
      <c r="D85" s="6" t="s">
        <v>105</v>
      </c>
      <c r="E85" s="15">
        <v>408</v>
      </c>
      <c r="F85" s="15">
        <v>1253</v>
      </c>
      <c r="G85" s="1"/>
      <c r="H85" s="1"/>
      <c r="I85" s="1">
        <f t="shared" si="12"/>
        <v>0</v>
      </c>
      <c r="J85" s="7">
        <v>6</v>
      </c>
      <c r="K85" s="7">
        <v>0</v>
      </c>
      <c r="L85" s="7">
        <v>0</v>
      </c>
      <c r="M85" s="7">
        <v>0</v>
      </c>
      <c r="N85" s="7">
        <v>0</v>
      </c>
      <c r="O85" s="7">
        <v>1</v>
      </c>
      <c r="P85" s="7">
        <v>0</v>
      </c>
      <c r="Q85" s="7">
        <v>0</v>
      </c>
      <c r="R85" s="1">
        <f t="shared" si="22"/>
        <v>7</v>
      </c>
      <c r="S85" s="1">
        <f t="shared" si="23"/>
        <v>7</v>
      </c>
      <c r="T85" s="1">
        <f t="shared" si="24"/>
        <v>401</v>
      </c>
      <c r="U85" s="8">
        <f t="shared" si="25"/>
        <v>1.7156862745098041E-2</v>
      </c>
      <c r="V85" s="8">
        <f t="shared" si="26"/>
        <v>0.98284313725490191</v>
      </c>
      <c r="W85" s="8">
        <f t="shared" si="27"/>
        <v>0</v>
      </c>
      <c r="X85" s="8">
        <f t="shared" si="28"/>
        <v>0</v>
      </c>
      <c r="Y85" s="8">
        <f t="shared" si="29"/>
        <v>1.7156862745098041E-2</v>
      </c>
    </row>
    <row r="86" spans="1:25">
      <c r="A86" s="1">
        <v>83</v>
      </c>
      <c r="B86" s="22" t="s">
        <v>102</v>
      </c>
      <c r="C86" s="22" t="s">
        <v>107</v>
      </c>
      <c r="D86" s="6" t="s">
        <v>108</v>
      </c>
      <c r="E86" s="15">
        <v>93</v>
      </c>
      <c r="F86" s="15">
        <v>285</v>
      </c>
      <c r="G86" s="1"/>
      <c r="H86" s="1"/>
      <c r="I86" s="1">
        <f t="shared" si="12"/>
        <v>0</v>
      </c>
      <c r="J86" s="7">
        <v>20</v>
      </c>
      <c r="K86" s="7">
        <v>0</v>
      </c>
      <c r="L86" s="7">
        <v>0</v>
      </c>
      <c r="M86" s="7">
        <v>114</v>
      </c>
      <c r="N86" s="7">
        <v>4</v>
      </c>
      <c r="O86" s="7">
        <v>3</v>
      </c>
      <c r="P86" s="7">
        <v>0</v>
      </c>
      <c r="Q86" s="7">
        <v>0</v>
      </c>
      <c r="R86" s="1">
        <f t="shared" si="22"/>
        <v>141</v>
      </c>
      <c r="S86" s="1">
        <f t="shared" si="23"/>
        <v>141</v>
      </c>
      <c r="T86" s="30">
        <f t="shared" si="24"/>
        <v>-48</v>
      </c>
      <c r="U86" s="8">
        <f t="shared" si="25"/>
        <v>1.5161290322580645</v>
      </c>
      <c r="V86" s="8">
        <f t="shared" si="26"/>
        <v>-0.5161290322580645</v>
      </c>
      <c r="W86" s="8">
        <f t="shared" si="27"/>
        <v>0</v>
      </c>
      <c r="X86" s="8">
        <f t="shared" si="28"/>
        <v>0</v>
      </c>
      <c r="Y86" s="8">
        <f t="shared" si="29"/>
        <v>1.5161290322580645</v>
      </c>
    </row>
    <row r="87" spans="1:25">
      <c r="A87" s="1">
        <v>84</v>
      </c>
      <c r="B87" s="22" t="s">
        <v>102</v>
      </c>
      <c r="C87" s="22" t="s">
        <v>106</v>
      </c>
      <c r="D87" s="6">
        <v>44595</v>
      </c>
      <c r="E87" s="15">
        <v>458</v>
      </c>
      <c r="F87" s="15">
        <v>1400</v>
      </c>
      <c r="G87" s="1"/>
      <c r="H87" s="30">
        <v>220</v>
      </c>
      <c r="I87" s="1">
        <f t="shared" si="12"/>
        <v>220</v>
      </c>
      <c r="J87" s="7">
        <v>9</v>
      </c>
      <c r="K87" s="7">
        <v>198</v>
      </c>
      <c r="L87" s="7">
        <v>3</v>
      </c>
      <c r="M87" s="7">
        <v>0</v>
      </c>
      <c r="N87" s="7">
        <v>0</v>
      </c>
      <c r="O87" s="7">
        <v>3</v>
      </c>
      <c r="P87" s="7">
        <v>0</v>
      </c>
      <c r="Q87" s="7">
        <v>0</v>
      </c>
      <c r="R87" s="1">
        <f t="shared" si="22"/>
        <v>213</v>
      </c>
      <c r="S87" s="1">
        <f t="shared" si="23"/>
        <v>433</v>
      </c>
      <c r="T87" s="1">
        <f t="shared" si="24"/>
        <v>25</v>
      </c>
      <c r="U87" s="8">
        <f t="shared" si="25"/>
        <v>0.94541484716157209</v>
      </c>
      <c r="V87" s="8">
        <f t="shared" si="26"/>
        <v>5.458515283842795E-2</v>
      </c>
      <c r="W87" s="8">
        <f t="shared" si="27"/>
        <v>0</v>
      </c>
      <c r="X87" s="8">
        <f t="shared" si="28"/>
        <v>0.48034934497816595</v>
      </c>
      <c r="Y87" s="8">
        <f t="shared" si="29"/>
        <v>0.46506550218340609</v>
      </c>
    </row>
    <row r="88" spans="1:25">
      <c r="A88" s="1">
        <v>85</v>
      </c>
      <c r="B88" s="22" t="s">
        <v>131</v>
      </c>
      <c r="C88" s="22" t="s">
        <v>133</v>
      </c>
      <c r="D88" s="6" t="s">
        <v>87</v>
      </c>
      <c r="E88" s="15">
        <v>716</v>
      </c>
      <c r="F88" s="15">
        <v>2211</v>
      </c>
      <c r="G88" s="30">
        <v>178</v>
      </c>
      <c r="H88" s="30">
        <v>250</v>
      </c>
      <c r="I88" s="1">
        <f t="shared" ref="I88:I109" si="30">H88+G88</f>
        <v>428</v>
      </c>
      <c r="J88" s="7">
        <v>0</v>
      </c>
      <c r="K88" s="7">
        <v>100</v>
      </c>
      <c r="L88" s="7">
        <v>2</v>
      </c>
      <c r="M88" s="7">
        <v>4</v>
      </c>
      <c r="N88" s="7">
        <v>0</v>
      </c>
      <c r="O88" s="7">
        <v>0</v>
      </c>
      <c r="P88" s="7">
        <v>50</v>
      </c>
      <c r="Q88" s="7">
        <v>0</v>
      </c>
      <c r="R88" s="1">
        <f t="shared" si="22"/>
        <v>156</v>
      </c>
      <c r="S88" s="1">
        <f t="shared" si="23"/>
        <v>584</v>
      </c>
      <c r="T88" s="1">
        <f t="shared" si="24"/>
        <v>132</v>
      </c>
      <c r="U88" s="8">
        <f t="shared" si="25"/>
        <v>0.81564245810055869</v>
      </c>
      <c r="V88" s="8">
        <f t="shared" si="26"/>
        <v>0.18435754189944134</v>
      </c>
      <c r="W88" s="8">
        <f t="shared" si="27"/>
        <v>0.24860335195530725</v>
      </c>
      <c r="X88" s="8">
        <f t="shared" si="28"/>
        <v>0.5977653631284916</v>
      </c>
      <c r="Y88" s="8">
        <f t="shared" si="29"/>
        <v>0.21787709497206703</v>
      </c>
    </row>
    <row r="89" spans="1:25">
      <c r="A89" s="1">
        <v>86</v>
      </c>
      <c r="B89" s="22" t="s">
        <v>131</v>
      </c>
      <c r="C89" s="24" t="s">
        <v>138</v>
      </c>
      <c r="D89" s="6" t="s">
        <v>139</v>
      </c>
      <c r="E89" s="15">
        <v>174</v>
      </c>
      <c r="F89" s="15">
        <v>539</v>
      </c>
      <c r="G89" s="1"/>
      <c r="H89" s="1">
        <v>0</v>
      </c>
      <c r="I89" s="1">
        <f t="shared" si="30"/>
        <v>0</v>
      </c>
      <c r="J89" s="7">
        <v>0</v>
      </c>
      <c r="K89" s="7">
        <v>5</v>
      </c>
      <c r="L89" s="7">
        <v>0</v>
      </c>
      <c r="M89" s="7">
        <v>50</v>
      </c>
      <c r="N89" s="7">
        <v>0</v>
      </c>
      <c r="O89" s="7">
        <v>1</v>
      </c>
      <c r="P89" s="7">
        <v>5</v>
      </c>
      <c r="Q89" s="7">
        <v>0</v>
      </c>
      <c r="R89" s="1">
        <f t="shared" si="22"/>
        <v>61</v>
      </c>
      <c r="S89" s="1">
        <f t="shared" si="23"/>
        <v>61</v>
      </c>
      <c r="T89" s="1">
        <f t="shared" si="24"/>
        <v>113</v>
      </c>
      <c r="U89" s="8">
        <f t="shared" si="25"/>
        <v>0.35057471264367818</v>
      </c>
      <c r="V89" s="8">
        <f t="shared" si="26"/>
        <v>0.64942528735632188</v>
      </c>
      <c r="W89" s="8">
        <f t="shared" si="27"/>
        <v>0</v>
      </c>
      <c r="X89" s="8">
        <f t="shared" si="28"/>
        <v>0</v>
      </c>
      <c r="Y89" s="8">
        <f t="shared" si="29"/>
        <v>0.35057471264367818</v>
      </c>
    </row>
    <row r="90" spans="1:25">
      <c r="A90" s="1">
        <v>87</v>
      </c>
      <c r="B90" s="22" t="s">
        <v>131</v>
      </c>
      <c r="C90" s="22" t="s">
        <v>148</v>
      </c>
      <c r="D90" s="6"/>
      <c r="E90" s="15">
        <v>80</v>
      </c>
      <c r="F90" s="15">
        <v>238</v>
      </c>
      <c r="G90" s="1"/>
      <c r="H90" s="30">
        <v>50</v>
      </c>
      <c r="I90" s="1">
        <f t="shared" si="30"/>
        <v>50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1">
        <f t="shared" ref="R90:R92" si="31">SUM(J90:Q90)</f>
        <v>0</v>
      </c>
      <c r="S90" s="1">
        <f t="shared" si="23"/>
        <v>50</v>
      </c>
      <c r="T90" s="1">
        <f t="shared" si="24"/>
        <v>30</v>
      </c>
      <c r="U90" s="8">
        <f t="shared" si="25"/>
        <v>0.625</v>
      </c>
      <c r="V90" s="8">
        <f t="shared" si="26"/>
        <v>0.375</v>
      </c>
      <c r="W90" s="8">
        <f t="shared" si="27"/>
        <v>0</v>
      </c>
      <c r="X90" s="8">
        <f t="shared" si="28"/>
        <v>0.625</v>
      </c>
      <c r="Y90" s="8">
        <f t="shared" si="29"/>
        <v>0</v>
      </c>
    </row>
    <row r="91" spans="1:25">
      <c r="A91" s="1">
        <v>88</v>
      </c>
      <c r="B91" s="22" t="s">
        <v>131</v>
      </c>
      <c r="C91" s="22" t="s">
        <v>147</v>
      </c>
      <c r="D91" s="6"/>
      <c r="E91" s="15">
        <v>142</v>
      </c>
      <c r="F91" s="15">
        <v>433</v>
      </c>
      <c r="G91" s="1"/>
      <c r="H91" s="30">
        <v>115</v>
      </c>
      <c r="I91" s="1">
        <f t="shared" si="30"/>
        <v>115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1">
        <f t="shared" si="31"/>
        <v>0</v>
      </c>
      <c r="S91" s="1">
        <f t="shared" si="23"/>
        <v>115</v>
      </c>
      <c r="T91" s="1">
        <f t="shared" si="24"/>
        <v>27</v>
      </c>
      <c r="U91" s="8">
        <f t="shared" si="25"/>
        <v>0.8098591549295775</v>
      </c>
      <c r="V91" s="8">
        <f t="shared" si="26"/>
        <v>0.19014084507042253</v>
      </c>
      <c r="W91" s="8">
        <f t="shared" si="27"/>
        <v>0</v>
      </c>
      <c r="X91" s="8">
        <f t="shared" si="28"/>
        <v>0.8098591549295775</v>
      </c>
      <c r="Y91" s="8">
        <f t="shared" si="29"/>
        <v>0</v>
      </c>
    </row>
    <row r="92" spans="1:25">
      <c r="A92" s="1">
        <v>89</v>
      </c>
      <c r="B92" s="22" t="s">
        <v>131</v>
      </c>
      <c r="C92" s="22" t="s">
        <v>131</v>
      </c>
      <c r="D92" s="6"/>
      <c r="E92" s="15">
        <v>1387</v>
      </c>
      <c r="F92" s="15">
        <v>4247</v>
      </c>
      <c r="G92" s="110">
        <v>1070</v>
      </c>
      <c r="H92" s="1"/>
      <c r="I92" s="1">
        <f t="shared" si="30"/>
        <v>1070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1">
        <f t="shared" si="31"/>
        <v>0</v>
      </c>
      <c r="S92" s="1">
        <f t="shared" si="23"/>
        <v>1070</v>
      </c>
      <c r="T92" s="1">
        <f t="shared" si="24"/>
        <v>317</v>
      </c>
      <c r="U92" s="8">
        <f t="shared" si="25"/>
        <v>0.7714491708723864</v>
      </c>
      <c r="V92" s="8">
        <f t="shared" si="26"/>
        <v>0.22855082912761354</v>
      </c>
      <c r="W92" s="8">
        <f t="shared" si="27"/>
        <v>0.7714491708723864</v>
      </c>
      <c r="X92" s="8">
        <f t="shared" si="28"/>
        <v>0.7714491708723864</v>
      </c>
      <c r="Y92" s="8">
        <f t="shared" si="29"/>
        <v>0</v>
      </c>
    </row>
    <row r="93" spans="1:25">
      <c r="A93" s="1">
        <v>90</v>
      </c>
      <c r="B93" s="22" t="s">
        <v>131</v>
      </c>
      <c r="C93" s="22" t="s">
        <v>135</v>
      </c>
      <c r="D93" s="6" t="s">
        <v>136</v>
      </c>
      <c r="E93" s="15">
        <v>166</v>
      </c>
      <c r="F93" s="15">
        <v>478</v>
      </c>
      <c r="G93" s="1"/>
      <c r="H93" s="30">
        <v>145</v>
      </c>
      <c r="I93" s="1">
        <f t="shared" si="30"/>
        <v>145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1</v>
      </c>
      <c r="R93" s="1">
        <f t="shared" ref="R93:R109" si="32">SUM(J93:Q93)</f>
        <v>1</v>
      </c>
      <c r="S93" s="1">
        <f t="shared" si="23"/>
        <v>146</v>
      </c>
      <c r="T93" s="1">
        <f t="shared" si="24"/>
        <v>20</v>
      </c>
      <c r="U93" s="8">
        <f t="shared" si="25"/>
        <v>0.87951807228915657</v>
      </c>
      <c r="V93" s="8">
        <f t="shared" si="26"/>
        <v>0.12048192771084337</v>
      </c>
      <c r="W93" s="8">
        <f t="shared" si="27"/>
        <v>0</v>
      </c>
      <c r="X93" s="8">
        <f t="shared" si="28"/>
        <v>0.87349397590361444</v>
      </c>
      <c r="Y93" s="8">
        <f t="shared" si="29"/>
        <v>6.024096385542169E-3</v>
      </c>
    </row>
    <row r="94" spans="1:25">
      <c r="A94" s="1">
        <v>91</v>
      </c>
      <c r="B94" s="22" t="s">
        <v>131</v>
      </c>
      <c r="C94" s="23" t="s">
        <v>132</v>
      </c>
      <c r="D94" s="6">
        <v>44866</v>
      </c>
      <c r="E94" s="15">
        <v>672</v>
      </c>
      <c r="F94" s="15">
        <v>2025</v>
      </c>
      <c r="G94" s="1"/>
      <c r="H94" s="30">
        <v>50</v>
      </c>
      <c r="I94" s="1">
        <f t="shared" si="30"/>
        <v>50</v>
      </c>
      <c r="J94" s="7">
        <v>0</v>
      </c>
      <c r="K94" s="7">
        <v>5</v>
      </c>
      <c r="L94" s="7">
        <v>0</v>
      </c>
      <c r="M94" s="7">
        <v>0</v>
      </c>
      <c r="N94" s="7">
        <v>0</v>
      </c>
      <c r="O94" s="7">
        <v>0</v>
      </c>
      <c r="P94" s="7">
        <v>4</v>
      </c>
      <c r="Q94" s="7">
        <v>0</v>
      </c>
      <c r="R94" s="1">
        <f t="shared" si="32"/>
        <v>9</v>
      </c>
      <c r="S94" s="1">
        <f t="shared" si="23"/>
        <v>59</v>
      </c>
      <c r="T94" s="1">
        <f t="shared" si="24"/>
        <v>613</v>
      </c>
      <c r="U94" s="8">
        <f t="shared" si="25"/>
        <v>8.7797619047619041E-2</v>
      </c>
      <c r="V94" s="8">
        <f t="shared" si="26"/>
        <v>0.91220238095238093</v>
      </c>
      <c r="W94" s="8">
        <f t="shared" si="27"/>
        <v>0</v>
      </c>
      <c r="X94" s="8">
        <f t="shared" si="28"/>
        <v>7.4404761904761904E-2</v>
      </c>
      <c r="Y94" s="8">
        <f t="shared" si="29"/>
        <v>1.3392857142857142E-2</v>
      </c>
    </row>
    <row r="95" spans="1:25">
      <c r="A95" s="1">
        <v>92</v>
      </c>
      <c r="B95" s="22" t="s">
        <v>131</v>
      </c>
      <c r="C95" s="23" t="s">
        <v>140</v>
      </c>
      <c r="D95" s="6" t="s">
        <v>141</v>
      </c>
      <c r="E95" s="15">
        <v>209</v>
      </c>
      <c r="F95" s="15">
        <v>605</v>
      </c>
      <c r="G95" s="1"/>
      <c r="H95" s="1"/>
      <c r="I95" s="1">
        <f t="shared" si="30"/>
        <v>0</v>
      </c>
      <c r="J95" s="7">
        <v>0</v>
      </c>
      <c r="K95" s="7">
        <v>18</v>
      </c>
      <c r="L95" s="7">
        <v>0</v>
      </c>
      <c r="M95" s="7">
        <v>20</v>
      </c>
      <c r="N95" s="7">
        <v>0</v>
      </c>
      <c r="O95" s="7">
        <v>0</v>
      </c>
      <c r="P95" s="7">
        <v>0</v>
      </c>
      <c r="Q95" s="7">
        <v>0</v>
      </c>
      <c r="R95" s="1">
        <f t="shared" si="32"/>
        <v>38</v>
      </c>
      <c r="S95" s="1">
        <f t="shared" si="23"/>
        <v>38</v>
      </c>
      <c r="T95" s="1">
        <f t="shared" si="24"/>
        <v>171</v>
      </c>
      <c r="U95" s="8">
        <f t="shared" si="25"/>
        <v>0.18181818181818182</v>
      </c>
      <c r="V95" s="8">
        <f t="shared" si="26"/>
        <v>0.81818181818181823</v>
      </c>
      <c r="W95" s="8">
        <f t="shared" si="27"/>
        <v>0</v>
      </c>
      <c r="X95" s="8">
        <f t="shared" si="28"/>
        <v>0</v>
      </c>
      <c r="Y95" s="8">
        <f t="shared" si="29"/>
        <v>0.18181818181818182</v>
      </c>
    </row>
    <row r="96" spans="1:25">
      <c r="A96" s="1">
        <v>93</v>
      </c>
      <c r="B96" s="22" t="s">
        <v>131</v>
      </c>
      <c r="C96" s="22" t="s">
        <v>137</v>
      </c>
      <c r="D96" s="6" t="s">
        <v>63</v>
      </c>
      <c r="E96" s="15">
        <v>88</v>
      </c>
      <c r="F96" s="15">
        <v>243</v>
      </c>
      <c r="G96" s="1"/>
      <c r="H96" s="30">
        <v>70</v>
      </c>
      <c r="I96" s="1">
        <f t="shared" si="30"/>
        <v>70</v>
      </c>
      <c r="J96" s="7">
        <v>0</v>
      </c>
      <c r="K96" s="7">
        <v>28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1</v>
      </c>
      <c r="R96" s="1">
        <f t="shared" si="32"/>
        <v>29</v>
      </c>
      <c r="S96" s="1">
        <f t="shared" si="23"/>
        <v>99</v>
      </c>
      <c r="T96" s="30">
        <f t="shared" si="24"/>
        <v>-11</v>
      </c>
      <c r="U96" s="8">
        <f t="shared" si="25"/>
        <v>1.125</v>
      </c>
      <c r="V96" s="8">
        <f t="shared" si="26"/>
        <v>-0.125</v>
      </c>
      <c r="W96" s="8">
        <f t="shared" si="27"/>
        <v>0</v>
      </c>
      <c r="X96" s="8">
        <f t="shared" si="28"/>
        <v>0.79545454545454541</v>
      </c>
      <c r="Y96" s="8">
        <f t="shared" si="29"/>
        <v>0.32954545454545453</v>
      </c>
    </row>
    <row r="97" spans="1:28">
      <c r="A97" s="1">
        <v>94</v>
      </c>
      <c r="B97" s="22" t="s">
        <v>131</v>
      </c>
      <c r="C97" s="23" t="s">
        <v>144</v>
      </c>
      <c r="D97" s="6" t="s">
        <v>145</v>
      </c>
      <c r="E97" s="15">
        <v>254</v>
      </c>
      <c r="F97" s="15">
        <v>736</v>
      </c>
      <c r="G97" s="1"/>
      <c r="H97" s="30">
        <v>61</v>
      </c>
      <c r="I97" s="1">
        <f t="shared" si="30"/>
        <v>61</v>
      </c>
      <c r="J97" s="7">
        <v>0</v>
      </c>
      <c r="K97" s="7">
        <v>10</v>
      </c>
      <c r="L97" s="7">
        <v>0</v>
      </c>
      <c r="M97" s="7">
        <v>0</v>
      </c>
      <c r="N97" s="7">
        <v>0</v>
      </c>
      <c r="O97" s="7">
        <v>0</v>
      </c>
      <c r="P97" s="7">
        <v>3</v>
      </c>
      <c r="Q97" s="7">
        <v>3</v>
      </c>
      <c r="R97" s="1">
        <f t="shared" si="32"/>
        <v>16</v>
      </c>
      <c r="S97" s="1">
        <f t="shared" si="23"/>
        <v>77</v>
      </c>
      <c r="T97" s="1">
        <f t="shared" si="24"/>
        <v>177</v>
      </c>
      <c r="U97" s="8">
        <f t="shared" si="25"/>
        <v>0.30314960629921262</v>
      </c>
      <c r="V97" s="8">
        <f t="shared" si="26"/>
        <v>0.69685039370078738</v>
      </c>
      <c r="W97" s="8">
        <f t="shared" si="27"/>
        <v>0</v>
      </c>
      <c r="X97" s="8">
        <f t="shared" si="28"/>
        <v>0.24015748031496062</v>
      </c>
      <c r="Y97" s="8">
        <f t="shared" si="29"/>
        <v>6.2992125984251968E-2</v>
      </c>
    </row>
    <row r="98" spans="1:28">
      <c r="A98" s="1">
        <v>95</v>
      </c>
      <c r="B98" s="22" t="s">
        <v>131</v>
      </c>
      <c r="C98" s="23" t="s">
        <v>146</v>
      </c>
      <c r="D98" s="6">
        <v>44785</v>
      </c>
      <c r="E98" s="15">
        <v>376</v>
      </c>
      <c r="F98" s="15">
        <v>1129</v>
      </c>
      <c r="G98" s="30">
        <v>37</v>
      </c>
      <c r="H98" s="1"/>
      <c r="I98" s="1">
        <f t="shared" si="30"/>
        <v>37</v>
      </c>
      <c r="J98" s="7">
        <v>1</v>
      </c>
      <c r="K98" s="7">
        <v>17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1</v>
      </c>
      <c r="R98" s="1">
        <f t="shared" si="32"/>
        <v>19</v>
      </c>
      <c r="S98" s="1">
        <f t="shared" si="23"/>
        <v>56</v>
      </c>
      <c r="T98" s="1">
        <f t="shared" si="24"/>
        <v>320</v>
      </c>
      <c r="U98" s="8">
        <f t="shared" si="25"/>
        <v>0.14893617021276595</v>
      </c>
      <c r="V98" s="8">
        <f t="shared" si="26"/>
        <v>0.85106382978723405</v>
      </c>
      <c r="W98" s="8">
        <f t="shared" si="27"/>
        <v>9.8404255319148939E-2</v>
      </c>
      <c r="X98" s="8">
        <f t="shared" si="28"/>
        <v>9.8404255319148939E-2</v>
      </c>
      <c r="Y98" s="8">
        <f t="shared" si="29"/>
        <v>5.0531914893617018E-2</v>
      </c>
    </row>
    <row r="99" spans="1:28">
      <c r="A99" s="1">
        <v>96</v>
      </c>
      <c r="B99" s="22" t="s">
        <v>131</v>
      </c>
      <c r="C99" s="23" t="s">
        <v>142</v>
      </c>
      <c r="D99" s="6" t="s">
        <v>143</v>
      </c>
      <c r="E99" s="15">
        <v>209</v>
      </c>
      <c r="F99" s="15">
        <v>593</v>
      </c>
      <c r="G99" s="1"/>
      <c r="H99" s="1"/>
      <c r="I99" s="1">
        <f t="shared" si="30"/>
        <v>0</v>
      </c>
      <c r="J99" s="7">
        <v>0</v>
      </c>
      <c r="K99" s="7">
        <v>25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1</v>
      </c>
      <c r="R99" s="1">
        <f t="shared" si="32"/>
        <v>26</v>
      </c>
      <c r="S99" s="1">
        <f t="shared" si="23"/>
        <v>26</v>
      </c>
      <c r="T99" s="1">
        <f t="shared" si="24"/>
        <v>183</v>
      </c>
      <c r="U99" s="8">
        <f t="shared" si="25"/>
        <v>0.12440191387559808</v>
      </c>
      <c r="V99" s="8">
        <f t="shared" si="26"/>
        <v>0.87559808612440193</v>
      </c>
      <c r="W99" s="8">
        <f t="shared" si="27"/>
        <v>0</v>
      </c>
      <c r="X99" s="8">
        <f t="shared" si="28"/>
        <v>0</v>
      </c>
      <c r="Y99" s="8">
        <f t="shared" si="29"/>
        <v>0.12440191387559808</v>
      </c>
    </row>
    <row r="100" spans="1:28">
      <c r="A100" s="1">
        <v>97</v>
      </c>
      <c r="B100" s="22" t="s">
        <v>131</v>
      </c>
      <c r="C100" s="22" t="s">
        <v>134</v>
      </c>
      <c r="D100" s="6">
        <v>44779</v>
      </c>
      <c r="E100" s="15">
        <v>125</v>
      </c>
      <c r="F100" s="15">
        <v>350</v>
      </c>
      <c r="G100" s="1"/>
      <c r="H100" s="30">
        <v>108</v>
      </c>
      <c r="I100" s="1">
        <f t="shared" si="30"/>
        <v>108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1</v>
      </c>
      <c r="P100" s="7">
        <v>1</v>
      </c>
      <c r="Q100" s="7">
        <v>0</v>
      </c>
      <c r="R100" s="1">
        <f t="shared" si="32"/>
        <v>2</v>
      </c>
      <c r="S100" s="1">
        <f t="shared" ref="S100:S131" si="33">R100+I100</f>
        <v>110</v>
      </c>
      <c r="T100" s="1">
        <f t="shared" ref="T100:T131" si="34">E100-S100</f>
        <v>15</v>
      </c>
      <c r="U100" s="8">
        <f t="shared" ref="U100:U131" si="35">S100/E100</f>
        <v>0.88</v>
      </c>
      <c r="V100" s="8">
        <f t="shared" ref="V100:V131" si="36">T100/E100</f>
        <v>0.12</v>
      </c>
      <c r="W100" s="8">
        <f t="shared" ref="W100:W131" si="37">G100/E100</f>
        <v>0</v>
      </c>
      <c r="X100" s="8">
        <f t="shared" ref="X100:X131" si="38">I100/E100</f>
        <v>0.86399999999999999</v>
      </c>
      <c r="Y100" s="8">
        <f t="shared" ref="Y100:Y131" si="39">R100/E100</f>
        <v>1.6E-2</v>
      </c>
    </row>
    <row r="101" spans="1:28">
      <c r="A101" s="1">
        <v>98</v>
      </c>
      <c r="B101" s="22" t="s">
        <v>151</v>
      </c>
      <c r="C101" s="25" t="s">
        <v>159</v>
      </c>
      <c r="D101" s="6">
        <v>44570</v>
      </c>
      <c r="E101" s="15">
        <v>273</v>
      </c>
      <c r="F101" s="15">
        <v>826</v>
      </c>
      <c r="G101" s="30">
        <v>128</v>
      </c>
      <c r="H101" s="1"/>
      <c r="I101" s="1">
        <f t="shared" si="30"/>
        <v>128</v>
      </c>
      <c r="J101" s="7">
        <v>0</v>
      </c>
      <c r="K101" s="7">
        <v>1</v>
      </c>
      <c r="L101" s="7">
        <v>0</v>
      </c>
      <c r="M101" s="7">
        <v>0</v>
      </c>
      <c r="N101" s="7">
        <v>0</v>
      </c>
      <c r="O101" s="7">
        <v>1</v>
      </c>
      <c r="P101" s="7">
        <v>0</v>
      </c>
      <c r="Q101" s="7">
        <v>1</v>
      </c>
      <c r="R101" s="1">
        <f t="shared" si="32"/>
        <v>3</v>
      </c>
      <c r="S101" s="1">
        <f t="shared" si="33"/>
        <v>131</v>
      </c>
      <c r="T101" s="1">
        <f t="shared" si="34"/>
        <v>142</v>
      </c>
      <c r="U101" s="8">
        <f t="shared" si="35"/>
        <v>0.47985347985347987</v>
      </c>
      <c r="V101" s="8">
        <f t="shared" si="36"/>
        <v>0.52014652014652019</v>
      </c>
      <c r="W101" s="8">
        <f t="shared" si="37"/>
        <v>0.46886446886446886</v>
      </c>
      <c r="X101" s="8">
        <f t="shared" si="38"/>
        <v>0.46886446886446886</v>
      </c>
      <c r="Y101" s="8">
        <f t="shared" si="39"/>
        <v>1.098901098901099E-2</v>
      </c>
    </row>
    <row r="102" spans="1:28">
      <c r="A102" s="1">
        <v>99</v>
      </c>
      <c r="B102" s="22" t="s">
        <v>151</v>
      </c>
      <c r="C102" s="22" t="s">
        <v>162</v>
      </c>
      <c r="D102" s="6"/>
      <c r="E102" s="15">
        <v>452</v>
      </c>
      <c r="F102" s="15">
        <v>1226</v>
      </c>
      <c r="G102" s="30">
        <v>150</v>
      </c>
      <c r="H102" s="30">
        <v>261</v>
      </c>
      <c r="I102" s="1">
        <f t="shared" si="30"/>
        <v>411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1">
        <f t="shared" si="32"/>
        <v>0</v>
      </c>
      <c r="S102" s="1">
        <f t="shared" si="33"/>
        <v>411</v>
      </c>
      <c r="T102" s="1">
        <f t="shared" si="34"/>
        <v>41</v>
      </c>
      <c r="U102" s="8">
        <f t="shared" si="35"/>
        <v>0.90929203539823011</v>
      </c>
      <c r="V102" s="8">
        <f t="shared" si="36"/>
        <v>9.0707964601769914E-2</v>
      </c>
      <c r="W102" s="8">
        <f t="shared" si="37"/>
        <v>0.33185840707964603</v>
      </c>
      <c r="X102" s="8">
        <f t="shared" si="38"/>
        <v>0.90929203539823011</v>
      </c>
      <c r="Y102" s="8">
        <f t="shared" si="39"/>
        <v>0</v>
      </c>
    </row>
    <row r="103" spans="1:28">
      <c r="A103" s="1">
        <v>100</v>
      </c>
      <c r="B103" s="22" t="s">
        <v>151</v>
      </c>
      <c r="C103" s="23" t="s">
        <v>154</v>
      </c>
      <c r="D103" s="6" t="s">
        <v>155</v>
      </c>
      <c r="E103" s="15">
        <v>220</v>
      </c>
      <c r="F103" s="15">
        <v>625</v>
      </c>
      <c r="G103" s="1"/>
      <c r="H103" s="30">
        <v>81</v>
      </c>
      <c r="I103" s="1">
        <f t="shared" si="30"/>
        <v>81</v>
      </c>
      <c r="J103" s="7">
        <v>0</v>
      </c>
      <c r="K103" s="7">
        <v>1</v>
      </c>
      <c r="L103" s="7">
        <v>0</v>
      </c>
      <c r="M103" s="7">
        <v>0</v>
      </c>
      <c r="N103" s="7">
        <v>1</v>
      </c>
      <c r="O103" s="7">
        <v>0</v>
      </c>
      <c r="P103" s="7">
        <v>1</v>
      </c>
      <c r="Q103" s="7">
        <v>1</v>
      </c>
      <c r="R103" s="1">
        <f t="shared" si="32"/>
        <v>4</v>
      </c>
      <c r="S103" s="1">
        <f t="shared" si="33"/>
        <v>85</v>
      </c>
      <c r="T103" s="1">
        <f t="shared" si="34"/>
        <v>135</v>
      </c>
      <c r="U103" s="8">
        <f t="shared" si="35"/>
        <v>0.38636363636363635</v>
      </c>
      <c r="V103" s="8">
        <f t="shared" si="36"/>
        <v>0.61363636363636365</v>
      </c>
      <c r="W103" s="8">
        <f t="shared" si="37"/>
        <v>0</v>
      </c>
      <c r="X103" s="8">
        <f t="shared" si="38"/>
        <v>0.36818181818181817</v>
      </c>
      <c r="Y103" s="8">
        <f t="shared" si="39"/>
        <v>1.8181818181818181E-2</v>
      </c>
    </row>
    <row r="104" spans="1:28">
      <c r="A104" s="1">
        <v>101</v>
      </c>
      <c r="B104" s="22" t="s">
        <v>151</v>
      </c>
      <c r="C104" s="23" t="s">
        <v>161</v>
      </c>
      <c r="D104" s="6">
        <v>44898</v>
      </c>
      <c r="E104" s="15">
        <v>115</v>
      </c>
      <c r="F104" s="15">
        <v>328</v>
      </c>
      <c r="G104" s="1"/>
      <c r="H104" s="1"/>
      <c r="I104" s="1">
        <f t="shared" si="30"/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1</v>
      </c>
      <c r="Q104" s="7">
        <v>1</v>
      </c>
      <c r="R104" s="1">
        <f t="shared" si="32"/>
        <v>2</v>
      </c>
      <c r="S104" s="1">
        <f t="shared" si="33"/>
        <v>2</v>
      </c>
      <c r="T104" s="1">
        <f t="shared" si="34"/>
        <v>113</v>
      </c>
      <c r="U104" s="8">
        <f t="shared" si="35"/>
        <v>1.7391304347826087E-2</v>
      </c>
      <c r="V104" s="8">
        <f t="shared" si="36"/>
        <v>0.9826086956521739</v>
      </c>
      <c r="W104" s="8">
        <f t="shared" si="37"/>
        <v>0</v>
      </c>
      <c r="X104" s="8">
        <f t="shared" si="38"/>
        <v>0</v>
      </c>
      <c r="Y104" s="8">
        <f t="shared" si="39"/>
        <v>1.7391304347826087E-2</v>
      </c>
    </row>
    <row r="105" spans="1:28">
      <c r="A105" s="1">
        <v>102</v>
      </c>
      <c r="B105" s="22" t="s">
        <v>151</v>
      </c>
      <c r="C105" s="22" t="s">
        <v>158</v>
      </c>
      <c r="D105" s="6">
        <v>44866</v>
      </c>
      <c r="E105" s="15">
        <v>402</v>
      </c>
      <c r="F105" s="15">
        <v>1232</v>
      </c>
      <c r="G105" s="110">
        <v>247</v>
      </c>
      <c r="H105" s="1"/>
      <c r="I105" s="1">
        <f t="shared" si="30"/>
        <v>247</v>
      </c>
      <c r="J105" s="7">
        <v>2</v>
      </c>
      <c r="K105" s="7">
        <v>5</v>
      </c>
      <c r="L105" s="7">
        <v>0</v>
      </c>
      <c r="M105" s="7">
        <v>1</v>
      </c>
      <c r="N105" s="7">
        <v>0</v>
      </c>
      <c r="O105" s="7">
        <v>0</v>
      </c>
      <c r="P105" s="7">
        <v>0</v>
      </c>
      <c r="Q105" s="7">
        <v>2</v>
      </c>
      <c r="R105" s="1">
        <f t="shared" si="32"/>
        <v>10</v>
      </c>
      <c r="S105" s="1">
        <f t="shared" si="33"/>
        <v>257</v>
      </c>
      <c r="T105" s="1">
        <f t="shared" si="34"/>
        <v>145</v>
      </c>
      <c r="U105" s="8">
        <f t="shared" si="35"/>
        <v>0.63930348258706471</v>
      </c>
      <c r="V105" s="8">
        <f t="shared" si="36"/>
        <v>0.36069651741293535</v>
      </c>
      <c r="W105" s="8">
        <f t="shared" si="37"/>
        <v>0.61442786069651745</v>
      </c>
      <c r="X105" s="8">
        <f t="shared" si="38"/>
        <v>0.61442786069651745</v>
      </c>
      <c r="Y105" s="8">
        <f t="shared" si="39"/>
        <v>2.4875621890547265E-2</v>
      </c>
    </row>
    <row r="106" spans="1:28">
      <c r="A106" s="1">
        <v>103</v>
      </c>
      <c r="B106" s="22" t="s">
        <v>151</v>
      </c>
      <c r="C106" s="23" t="s">
        <v>153</v>
      </c>
      <c r="D106" s="6">
        <v>44896</v>
      </c>
      <c r="E106" s="15">
        <v>374</v>
      </c>
      <c r="F106" s="15">
        <v>1117</v>
      </c>
      <c r="G106" s="1"/>
      <c r="H106" s="1"/>
      <c r="I106" s="1">
        <f t="shared" si="30"/>
        <v>0</v>
      </c>
      <c r="J106" s="7">
        <v>0</v>
      </c>
      <c r="K106" s="7">
        <v>3</v>
      </c>
      <c r="L106" s="7">
        <v>2</v>
      </c>
      <c r="M106" s="7">
        <v>0</v>
      </c>
      <c r="N106" s="7">
        <v>0</v>
      </c>
      <c r="O106" s="7">
        <v>1</v>
      </c>
      <c r="P106" s="7">
        <v>0</v>
      </c>
      <c r="Q106" s="7">
        <v>0</v>
      </c>
      <c r="R106" s="1">
        <f t="shared" si="32"/>
        <v>6</v>
      </c>
      <c r="S106" s="1">
        <f t="shared" si="33"/>
        <v>6</v>
      </c>
      <c r="T106" s="1">
        <f t="shared" si="34"/>
        <v>368</v>
      </c>
      <c r="U106" s="8">
        <f t="shared" si="35"/>
        <v>1.6042780748663103E-2</v>
      </c>
      <c r="V106" s="8">
        <f t="shared" si="36"/>
        <v>0.98395721925133695</v>
      </c>
      <c r="W106" s="8">
        <f t="shared" si="37"/>
        <v>0</v>
      </c>
      <c r="X106" s="8">
        <f t="shared" si="38"/>
        <v>0</v>
      </c>
      <c r="Y106" s="8">
        <f t="shared" si="39"/>
        <v>1.6042780748663103E-2</v>
      </c>
    </row>
    <row r="107" spans="1:28">
      <c r="A107" s="1">
        <v>104</v>
      </c>
      <c r="B107" s="22" t="s">
        <v>151</v>
      </c>
      <c r="C107" s="23" t="s">
        <v>160</v>
      </c>
      <c r="D107" s="6">
        <v>44621</v>
      </c>
      <c r="E107" s="15">
        <v>187</v>
      </c>
      <c r="F107" s="15">
        <v>564</v>
      </c>
      <c r="G107" s="1"/>
      <c r="H107" s="1"/>
      <c r="I107" s="1">
        <f t="shared" si="30"/>
        <v>0</v>
      </c>
      <c r="J107" s="7">
        <v>0</v>
      </c>
      <c r="K107" s="7">
        <v>39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1">
        <f t="shared" si="32"/>
        <v>39</v>
      </c>
      <c r="S107" s="1">
        <f t="shared" si="33"/>
        <v>39</v>
      </c>
      <c r="T107" s="1">
        <f t="shared" si="34"/>
        <v>148</v>
      </c>
      <c r="U107" s="8">
        <f t="shared" si="35"/>
        <v>0.20855614973262032</v>
      </c>
      <c r="V107" s="8">
        <f t="shared" si="36"/>
        <v>0.79144385026737973</v>
      </c>
      <c r="W107" s="8">
        <f t="shared" si="37"/>
        <v>0</v>
      </c>
      <c r="X107" s="8">
        <f t="shared" si="38"/>
        <v>0</v>
      </c>
      <c r="Y107" s="8">
        <f t="shared" si="39"/>
        <v>0.20855614973262032</v>
      </c>
    </row>
    <row r="108" spans="1:28">
      <c r="A108" s="1">
        <v>105</v>
      </c>
      <c r="B108" s="22" t="s">
        <v>151</v>
      </c>
      <c r="C108" s="23" t="s">
        <v>156</v>
      </c>
      <c r="D108" s="6" t="s">
        <v>157</v>
      </c>
      <c r="E108" s="15">
        <v>364</v>
      </c>
      <c r="F108" s="15">
        <v>1047</v>
      </c>
      <c r="G108" s="30">
        <v>1</v>
      </c>
      <c r="H108" s="30">
        <v>130</v>
      </c>
      <c r="I108" s="1">
        <f t="shared" si="30"/>
        <v>131</v>
      </c>
      <c r="J108" s="7">
        <v>0</v>
      </c>
      <c r="K108" s="7">
        <v>9</v>
      </c>
      <c r="L108" s="7">
        <v>0</v>
      </c>
      <c r="M108" s="7">
        <v>0</v>
      </c>
      <c r="N108" s="7">
        <v>0</v>
      </c>
      <c r="O108" s="7">
        <v>1</v>
      </c>
      <c r="P108" s="7">
        <v>0</v>
      </c>
      <c r="Q108" s="7">
        <v>0</v>
      </c>
      <c r="R108" s="1">
        <f t="shared" si="32"/>
        <v>10</v>
      </c>
      <c r="S108" s="1">
        <f t="shared" si="33"/>
        <v>141</v>
      </c>
      <c r="T108" s="1">
        <f t="shared" si="34"/>
        <v>223</v>
      </c>
      <c r="U108" s="8">
        <f t="shared" si="35"/>
        <v>0.38736263736263737</v>
      </c>
      <c r="V108" s="8">
        <f t="shared" si="36"/>
        <v>0.61263736263736268</v>
      </c>
      <c r="W108" s="8">
        <f t="shared" si="37"/>
        <v>2.7472527472527475E-3</v>
      </c>
      <c r="X108" s="8">
        <f t="shared" si="38"/>
        <v>0.35989010989010989</v>
      </c>
      <c r="Y108" s="8">
        <f t="shared" si="39"/>
        <v>2.7472527472527472E-2</v>
      </c>
    </row>
    <row r="109" spans="1:28">
      <c r="A109" s="1">
        <v>106</v>
      </c>
      <c r="B109" s="22" t="s">
        <v>151</v>
      </c>
      <c r="C109" s="23" t="s">
        <v>152</v>
      </c>
      <c r="D109" s="6">
        <v>44289</v>
      </c>
      <c r="E109" s="15">
        <v>139</v>
      </c>
      <c r="F109" s="15">
        <v>417</v>
      </c>
      <c r="G109" s="1"/>
      <c r="H109" s="1"/>
      <c r="I109" s="1">
        <f t="shared" si="30"/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1</v>
      </c>
      <c r="Q109" s="7">
        <v>2</v>
      </c>
      <c r="R109" s="1">
        <f t="shared" si="32"/>
        <v>3</v>
      </c>
      <c r="S109" s="1">
        <f t="shared" si="33"/>
        <v>3</v>
      </c>
      <c r="T109" s="1">
        <f t="shared" si="34"/>
        <v>136</v>
      </c>
      <c r="U109" s="8">
        <f t="shared" si="35"/>
        <v>2.1582733812949641E-2</v>
      </c>
      <c r="V109" s="8">
        <f t="shared" si="36"/>
        <v>0.97841726618705038</v>
      </c>
      <c r="W109" s="8">
        <f t="shared" si="37"/>
        <v>0</v>
      </c>
      <c r="X109" s="8">
        <f t="shared" si="38"/>
        <v>0</v>
      </c>
      <c r="Y109" s="8">
        <f t="shared" si="39"/>
        <v>2.1582733812949641E-2</v>
      </c>
    </row>
    <row r="110" spans="1:28">
      <c r="A110" s="1">
        <v>107</v>
      </c>
      <c r="B110" s="22" t="s">
        <v>163</v>
      </c>
      <c r="C110" s="22" t="s">
        <v>165</v>
      </c>
      <c r="D110" s="6">
        <v>44866</v>
      </c>
      <c r="E110" s="20">
        <v>618</v>
      </c>
      <c r="F110" s="20">
        <v>1865</v>
      </c>
      <c r="G110" s="92">
        <v>327</v>
      </c>
      <c r="H110" s="7"/>
      <c r="I110" s="7">
        <f t="shared" ref="I110:I124" si="40">H110+G110</f>
        <v>327</v>
      </c>
      <c r="J110" s="7">
        <v>0</v>
      </c>
      <c r="K110" s="7">
        <v>236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f t="shared" ref="R110:R124" si="41">SUM(J110:Q110)</f>
        <v>236</v>
      </c>
      <c r="S110" s="7">
        <f t="shared" si="33"/>
        <v>563</v>
      </c>
      <c r="T110" s="10">
        <f t="shared" si="34"/>
        <v>55</v>
      </c>
      <c r="U110" s="8">
        <f t="shared" si="35"/>
        <v>0.9110032362459547</v>
      </c>
      <c r="V110" s="8">
        <f t="shared" si="36"/>
        <v>8.8996763754045305E-2</v>
      </c>
      <c r="W110" s="8">
        <f t="shared" si="37"/>
        <v>0.529126213592233</v>
      </c>
      <c r="X110" s="8">
        <f t="shared" si="38"/>
        <v>0.529126213592233</v>
      </c>
      <c r="Y110" s="8">
        <f t="shared" si="39"/>
        <v>0.3818770226537217</v>
      </c>
    </row>
    <row r="111" spans="1:28">
      <c r="A111" s="1">
        <v>108</v>
      </c>
      <c r="B111" s="22" t="s">
        <v>163</v>
      </c>
      <c r="C111" s="22" t="s">
        <v>166</v>
      </c>
      <c r="D111" s="6" t="s">
        <v>167</v>
      </c>
      <c r="E111" s="20">
        <v>1183</v>
      </c>
      <c r="F111" s="20">
        <v>3831</v>
      </c>
      <c r="G111" s="18">
        <v>818</v>
      </c>
      <c r="H111" s="7"/>
      <c r="I111" s="7">
        <f t="shared" si="40"/>
        <v>818</v>
      </c>
      <c r="J111" s="7">
        <v>15</v>
      </c>
      <c r="K111" s="7">
        <v>17</v>
      </c>
      <c r="L111" s="7">
        <v>0</v>
      </c>
      <c r="M111" s="7">
        <v>0</v>
      </c>
      <c r="N111" s="7">
        <v>0</v>
      </c>
      <c r="O111" s="7">
        <v>1</v>
      </c>
      <c r="P111" s="7">
        <v>0</v>
      </c>
      <c r="Q111" s="7">
        <v>0</v>
      </c>
      <c r="R111" s="7">
        <f t="shared" si="41"/>
        <v>33</v>
      </c>
      <c r="S111" s="7">
        <f t="shared" si="33"/>
        <v>851</v>
      </c>
      <c r="T111" s="10">
        <f t="shared" si="34"/>
        <v>332</v>
      </c>
      <c r="U111" s="8">
        <f t="shared" si="35"/>
        <v>0.71935756551141161</v>
      </c>
      <c r="V111" s="8">
        <f t="shared" si="36"/>
        <v>0.28064243448858833</v>
      </c>
      <c r="W111" s="8">
        <f t="shared" si="37"/>
        <v>0.69146238377007607</v>
      </c>
      <c r="X111" s="8">
        <f t="shared" si="38"/>
        <v>0.69146238377007607</v>
      </c>
      <c r="Y111" s="8">
        <f t="shared" si="39"/>
        <v>2.7895181741335588E-2</v>
      </c>
      <c r="Z111">
        <v>817</v>
      </c>
      <c r="AA111">
        <f>AB118</f>
        <v>74</v>
      </c>
      <c r="AB111">
        <f>Z111+AA111</f>
        <v>891</v>
      </c>
    </row>
    <row r="112" spans="1:28">
      <c r="A112" s="1">
        <v>109</v>
      </c>
      <c r="B112" s="22" t="s">
        <v>163</v>
      </c>
      <c r="C112" s="22" t="s">
        <v>176</v>
      </c>
      <c r="D112" s="6" t="s">
        <v>127</v>
      </c>
      <c r="E112" s="20">
        <v>792</v>
      </c>
      <c r="F112" s="20">
        <v>2310</v>
      </c>
      <c r="G112" s="7"/>
      <c r="H112" s="92">
        <v>205</v>
      </c>
      <c r="I112" s="7">
        <f t="shared" si="40"/>
        <v>205</v>
      </c>
      <c r="J112" s="7">
        <v>0</v>
      </c>
      <c r="K112" s="7">
        <v>45</v>
      </c>
      <c r="L112" s="7">
        <v>0</v>
      </c>
      <c r="M112" s="7">
        <v>70</v>
      </c>
      <c r="N112" s="7">
        <v>0</v>
      </c>
      <c r="O112" s="7">
        <v>1</v>
      </c>
      <c r="P112" s="7">
        <v>11</v>
      </c>
      <c r="Q112" s="7">
        <v>0</v>
      </c>
      <c r="R112" s="7">
        <f t="shared" si="41"/>
        <v>127</v>
      </c>
      <c r="S112" s="7">
        <f t="shared" si="33"/>
        <v>332</v>
      </c>
      <c r="T112" s="10">
        <f t="shared" si="34"/>
        <v>460</v>
      </c>
      <c r="U112" s="8">
        <f t="shared" si="35"/>
        <v>0.41919191919191917</v>
      </c>
      <c r="V112" s="8">
        <f t="shared" si="36"/>
        <v>0.58080808080808077</v>
      </c>
      <c r="W112" s="8">
        <f t="shared" si="37"/>
        <v>0</v>
      </c>
      <c r="X112" s="8">
        <f t="shared" si="38"/>
        <v>0.25883838383838381</v>
      </c>
      <c r="Y112" s="8">
        <f t="shared" si="39"/>
        <v>0.16035353535353536</v>
      </c>
    </row>
    <row r="113" spans="1:28">
      <c r="A113" s="1">
        <v>110</v>
      </c>
      <c r="B113" s="22" t="s">
        <v>163</v>
      </c>
      <c r="C113" s="22" t="s">
        <v>175</v>
      </c>
      <c r="D113" s="6" t="s">
        <v>150</v>
      </c>
      <c r="E113" s="20">
        <v>787</v>
      </c>
      <c r="F113" s="20">
        <v>2336</v>
      </c>
      <c r="G113" s="7"/>
      <c r="H113" s="92">
        <v>200</v>
      </c>
      <c r="I113" s="7">
        <f t="shared" si="40"/>
        <v>200</v>
      </c>
      <c r="J113" s="7">
        <v>0</v>
      </c>
      <c r="K113" s="7">
        <v>32</v>
      </c>
      <c r="L113" s="7">
        <v>0</v>
      </c>
      <c r="M113" s="11">
        <v>750</v>
      </c>
      <c r="N113" s="7">
        <v>0</v>
      </c>
      <c r="O113" s="7">
        <v>8</v>
      </c>
      <c r="P113" s="7">
        <v>0</v>
      </c>
      <c r="Q113" s="7">
        <v>0</v>
      </c>
      <c r="R113" s="7">
        <f t="shared" si="41"/>
        <v>790</v>
      </c>
      <c r="S113" s="7">
        <f t="shared" si="33"/>
        <v>990</v>
      </c>
      <c r="T113" s="31">
        <f t="shared" si="34"/>
        <v>-203</v>
      </c>
      <c r="U113" s="8">
        <f t="shared" si="35"/>
        <v>1.2579415501905973</v>
      </c>
      <c r="V113" s="8">
        <f t="shared" si="36"/>
        <v>-0.25794155019059722</v>
      </c>
      <c r="W113" s="8">
        <f t="shared" si="37"/>
        <v>0</v>
      </c>
      <c r="X113" s="8">
        <f t="shared" si="38"/>
        <v>0.25412960609911056</v>
      </c>
      <c r="Y113" s="8">
        <f t="shared" si="39"/>
        <v>1.0038119440914866</v>
      </c>
    </row>
    <row r="114" spans="1:28">
      <c r="A114" s="1">
        <v>111</v>
      </c>
      <c r="B114" s="22" t="s">
        <v>163</v>
      </c>
      <c r="C114" s="22" t="s">
        <v>164</v>
      </c>
      <c r="D114" s="6">
        <v>44744</v>
      </c>
      <c r="E114" s="20">
        <v>275</v>
      </c>
      <c r="F114" s="20">
        <v>819</v>
      </c>
      <c r="G114" s="7"/>
      <c r="H114" s="92">
        <v>161</v>
      </c>
      <c r="I114" s="7">
        <f t="shared" si="40"/>
        <v>161</v>
      </c>
      <c r="J114" s="7">
        <v>0</v>
      </c>
      <c r="K114" s="11">
        <v>172</v>
      </c>
      <c r="L114" s="7">
        <v>0</v>
      </c>
      <c r="M114" s="11"/>
      <c r="N114" s="7">
        <v>0</v>
      </c>
      <c r="O114" s="7">
        <v>0</v>
      </c>
      <c r="P114" s="7">
        <v>0</v>
      </c>
      <c r="Q114" s="7">
        <v>0</v>
      </c>
      <c r="R114" s="7">
        <f t="shared" si="41"/>
        <v>172</v>
      </c>
      <c r="S114" s="7">
        <f t="shared" si="33"/>
        <v>333</v>
      </c>
      <c r="T114" s="31">
        <f t="shared" si="34"/>
        <v>-58</v>
      </c>
      <c r="U114" s="8">
        <f t="shared" si="35"/>
        <v>1.2109090909090909</v>
      </c>
      <c r="V114" s="8">
        <f t="shared" si="36"/>
        <v>-0.21090909090909091</v>
      </c>
      <c r="W114" s="8">
        <f t="shared" si="37"/>
        <v>0</v>
      </c>
      <c r="X114" s="8">
        <f t="shared" si="38"/>
        <v>0.58545454545454545</v>
      </c>
      <c r="Y114" s="8">
        <f t="shared" si="39"/>
        <v>0.62545454545454549</v>
      </c>
    </row>
    <row r="115" spans="1:28">
      <c r="A115" s="1">
        <v>112</v>
      </c>
      <c r="B115" s="22" t="s">
        <v>163</v>
      </c>
      <c r="C115" s="22" t="s">
        <v>177</v>
      </c>
      <c r="D115" s="6">
        <v>44806</v>
      </c>
      <c r="E115" s="20">
        <v>414</v>
      </c>
      <c r="F115" s="20">
        <v>1327</v>
      </c>
      <c r="G115" s="92">
        <v>230</v>
      </c>
      <c r="H115" s="7"/>
      <c r="I115" s="7">
        <f t="shared" si="40"/>
        <v>230</v>
      </c>
      <c r="J115" s="7">
        <v>0</v>
      </c>
      <c r="K115" s="7">
        <v>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f t="shared" si="41"/>
        <v>5</v>
      </c>
      <c r="S115" s="7">
        <f t="shared" si="33"/>
        <v>235</v>
      </c>
      <c r="T115" s="10">
        <f t="shared" si="34"/>
        <v>179</v>
      </c>
      <c r="U115" s="8">
        <f t="shared" si="35"/>
        <v>0.56763285024154586</v>
      </c>
      <c r="V115" s="8">
        <f t="shared" si="36"/>
        <v>0.43236714975845408</v>
      </c>
      <c r="W115" s="8">
        <f t="shared" si="37"/>
        <v>0.55555555555555558</v>
      </c>
      <c r="X115" s="8">
        <f t="shared" si="38"/>
        <v>0.55555555555555558</v>
      </c>
      <c r="Y115" s="8">
        <f t="shared" si="39"/>
        <v>1.2077294685990338E-2</v>
      </c>
    </row>
    <row r="116" spans="1:28">
      <c r="A116" s="1">
        <v>113</v>
      </c>
      <c r="B116" s="22" t="s">
        <v>163</v>
      </c>
      <c r="C116" s="22" t="s">
        <v>169</v>
      </c>
      <c r="D116" s="6" t="s">
        <v>170</v>
      </c>
      <c r="E116" s="20">
        <v>1106</v>
      </c>
      <c r="F116" s="20">
        <v>3277</v>
      </c>
      <c r="G116" s="18">
        <v>576</v>
      </c>
      <c r="H116" s="7"/>
      <c r="I116" s="7">
        <f t="shared" si="40"/>
        <v>576</v>
      </c>
      <c r="J116" s="7">
        <v>0</v>
      </c>
      <c r="K116" s="7">
        <v>25</v>
      </c>
      <c r="L116" s="7">
        <v>0</v>
      </c>
      <c r="M116" s="32">
        <v>18</v>
      </c>
      <c r="N116" s="7">
        <v>0</v>
      </c>
      <c r="O116" s="7">
        <v>1</v>
      </c>
      <c r="P116" s="7">
        <v>2</v>
      </c>
      <c r="Q116" s="7">
        <v>1</v>
      </c>
      <c r="R116" s="7">
        <f t="shared" si="41"/>
        <v>47</v>
      </c>
      <c r="S116" s="7">
        <f t="shared" si="33"/>
        <v>623</v>
      </c>
      <c r="T116" s="10">
        <f t="shared" si="34"/>
        <v>483</v>
      </c>
      <c r="U116" s="8">
        <f t="shared" si="35"/>
        <v>0.56329113924050633</v>
      </c>
      <c r="V116" s="8">
        <f t="shared" si="36"/>
        <v>0.43670886075949367</v>
      </c>
      <c r="W116" s="8">
        <f t="shared" si="37"/>
        <v>0.5207956600361664</v>
      </c>
      <c r="X116" s="8">
        <f t="shared" si="38"/>
        <v>0.5207956600361664</v>
      </c>
      <c r="Y116" s="8">
        <f t="shared" si="39"/>
        <v>4.2495479204339964E-2</v>
      </c>
    </row>
    <row r="117" spans="1:28">
      <c r="A117" s="1">
        <v>114</v>
      </c>
      <c r="B117" s="22" t="s">
        <v>163</v>
      </c>
      <c r="C117" s="22" t="s">
        <v>180</v>
      </c>
      <c r="D117" s="6"/>
      <c r="E117" s="20">
        <v>647</v>
      </c>
      <c r="F117" s="20">
        <v>2168</v>
      </c>
      <c r="G117" s="18">
        <v>732</v>
      </c>
      <c r="H117" s="7"/>
      <c r="I117" s="7">
        <f t="shared" si="40"/>
        <v>732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f t="shared" si="41"/>
        <v>0</v>
      </c>
      <c r="S117" s="7">
        <f t="shared" si="33"/>
        <v>732</v>
      </c>
      <c r="T117" s="31">
        <f t="shared" si="34"/>
        <v>-85</v>
      </c>
      <c r="U117" s="8">
        <f t="shared" si="35"/>
        <v>1.1313755795981453</v>
      </c>
      <c r="V117" s="8">
        <f t="shared" si="36"/>
        <v>-0.13137557959814528</v>
      </c>
      <c r="W117" s="8">
        <f t="shared" si="37"/>
        <v>1.1313755795981453</v>
      </c>
      <c r="X117" s="8">
        <f t="shared" si="38"/>
        <v>1.1313755795981453</v>
      </c>
      <c r="Y117" s="8">
        <f t="shared" si="39"/>
        <v>0</v>
      </c>
    </row>
    <row r="118" spans="1:28">
      <c r="A118" s="1">
        <v>115</v>
      </c>
      <c r="B118" s="22" t="s">
        <v>163</v>
      </c>
      <c r="C118" s="22" t="s">
        <v>171</v>
      </c>
      <c r="D118" s="6" t="s">
        <v>172</v>
      </c>
      <c r="E118" s="20">
        <v>485</v>
      </c>
      <c r="F118" s="20">
        <v>1502</v>
      </c>
      <c r="G118" s="11"/>
      <c r="H118" s="92">
        <v>222</v>
      </c>
      <c r="I118" s="7">
        <f t="shared" si="40"/>
        <v>222</v>
      </c>
      <c r="J118" s="7">
        <v>0</v>
      </c>
      <c r="K118" s="7">
        <v>40</v>
      </c>
      <c r="L118" s="7">
        <v>195</v>
      </c>
      <c r="M118" s="7">
        <v>0</v>
      </c>
      <c r="N118" s="7">
        <v>2</v>
      </c>
      <c r="O118" s="7">
        <v>1</v>
      </c>
      <c r="P118" s="7">
        <v>1</v>
      </c>
      <c r="Q118" s="7">
        <v>1</v>
      </c>
      <c r="R118" s="7">
        <f t="shared" si="41"/>
        <v>240</v>
      </c>
      <c r="S118" s="7">
        <f t="shared" si="33"/>
        <v>462</v>
      </c>
      <c r="T118" s="10">
        <f t="shared" si="34"/>
        <v>23</v>
      </c>
      <c r="U118" s="8">
        <f t="shared" si="35"/>
        <v>0.95257731958762881</v>
      </c>
      <c r="V118" s="8">
        <f t="shared" si="36"/>
        <v>4.7422680412371132E-2</v>
      </c>
      <c r="W118" s="8">
        <f t="shared" si="37"/>
        <v>0</v>
      </c>
      <c r="X118" s="8">
        <f t="shared" si="38"/>
        <v>0.45773195876288658</v>
      </c>
      <c r="Y118" s="8">
        <f t="shared" si="39"/>
        <v>0.49484536082474229</v>
      </c>
      <c r="Z118">
        <v>721</v>
      </c>
      <c r="AA118">
        <v>647</v>
      </c>
      <c r="AB118">
        <f>Z118-AA118</f>
        <v>74</v>
      </c>
    </row>
    <row r="119" spans="1:28">
      <c r="A119" s="1">
        <v>116</v>
      </c>
      <c r="B119" s="22" t="s">
        <v>163</v>
      </c>
      <c r="C119" s="22" t="s">
        <v>168</v>
      </c>
      <c r="D119" s="6">
        <v>44776</v>
      </c>
      <c r="E119" s="20">
        <v>531</v>
      </c>
      <c r="F119" s="20">
        <v>1623</v>
      </c>
      <c r="G119" s="7"/>
      <c r="H119" s="7"/>
      <c r="I119" s="7">
        <f t="shared" si="40"/>
        <v>0</v>
      </c>
      <c r="J119" s="7">
        <v>0</v>
      </c>
      <c r="K119" s="7">
        <v>114</v>
      </c>
      <c r="L119" s="7">
        <v>0</v>
      </c>
      <c r="M119" s="7">
        <v>118</v>
      </c>
      <c r="N119" s="7">
        <v>2</v>
      </c>
      <c r="O119" s="7">
        <v>4</v>
      </c>
      <c r="P119" s="7">
        <v>2</v>
      </c>
      <c r="Q119" s="7">
        <v>4</v>
      </c>
      <c r="R119" s="7">
        <f t="shared" si="41"/>
        <v>244</v>
      </c>
      <c r="S119" s="7">
        <f t="shared" si="33"/>
        <v>244</v>
      </c>
      <c r="T119" s="10">
        <f t="shared" si="34"/>
        <v>287</v>
      </c>
      <c r="U119" s="8">
        <f t="shared" si="35"/>
        <v>0.45951035781544258</v>
      </c>
      <c r="V119" s="8">
        <f t="shared" si="36"/>
        <v>0.54048964218455742</v>
      </c>
      <c r="W119" s="8">
        <f t="shared" si="37"/>
        <v>0</v>
      </c>
      <c r="X119" s="8">
        <f t="shared" si="38"/>
        <v>0</v>
      </c>
      <c r="Y119" s="8">
        <f t="shared" si="39"/>
        <v>0.45951035781544258</v>
      </c>
    </row>
    <row r="120" spans="1:28">
      <c r="A120" s="1">
        <v>117</v>
      </c>
      <c r="B120" s="22" t="s">
        <v>163</v>
      </c>
      <c r="C120" s="24" t="s">
        <v>227</v>
      </c>
      <c r="D120" s="6">
        <v>44835</v>
      </c>
      <c r="E120" s="20">
        <v>1025</v>
      </c>
      <c r="F120" s="20">
        <v>3031</v>
      </c>
      <c r="G120" s="92">
        <v>5</v>
      </c>
      <c r="H120" s="92">
        <v>260</v>
      </c>
      <c r="I120" s="7">
        <f t="shared" si="40"/>
        <v>265</v>
      </c>
      <c r="J120" s="7">
        <v>2</v>
      </c>
      <c r="K120" s="7">
        <v>0</v>
      </c>
      <c r="L120" s="7">
        <v>0</v>
      </c>
      <c r="M120" s="7">
        <v>0</v>
      </c>
      <c r="N120" s="7">
        <v>0</v>
      </c>
      <c r="O120" s="7">
        <v>6</v>
      </c>
      <c r="P120" s="7">
        <v>0</v>
      </c>
      <c r="Q120" s="7">
        <v>0</v>
      </c>
      <c r="R120" s="7">
        <f t="shared" si="41"/>
        <v>8</v>
      </c>
      <c r="S120" s="7">
        <f t="shared" si="33"/>
        <v>273</v>
      </c>
      <c r="T120" s="10">
        <f t="shared" si="34"/>
        <v>752</v>
      </c>
      <c r="U120" s="8">
        <f t="shared" si="35"/>
        <v>0.26634146341463416</v>
      </c>
      <c r="V120" s="8">
        <f t="shared" si="36"/>
        <v>0.73365853658536584</v>
      </c>
      <c r="W120" s="8">
        <f t="shared" si="37"/>
        <v>4.8780487804878049E-3</v>
      </c>
      <c r="X120" s="8">
        <f t="shared" si="38"/>
        <v>0.25853658536585367</v>
      </c>
      <c r="Y120" s="8">
        <f t="shared" si="39"/>
        <v>7.8048780487804878E-3</v>
      </c>
    </row>
    <row r="121" spans="1:28">
      <c r="A121" s="1">
        <v>118</v>
      </c>
      <c r="B121" s="22" t="s">
        <v>163</v>
      </c>
      <c r="C121" s="22" t="s">
        <v>179</v>
      </c>
      <c r="D121" s="6" t="s">
        <v>6</v>
      </c>
      <c r="E121" s="20">
        <v>178</v>
      </c>
      <c r="F121" s="20">
        <v>591</v>
      </c>
      <c r="G121" s="18">
        <v>5</v>
      </c>
      <c r="H121" s="7"/>
      <c r="I121" s="7">
        <f t="shared" si="40"/>
        <v>5</v>
      </c>
      <c r="J121" s="7">
        <v>4</v>
      </c>
      <c r="K121" s="7">
        <v>16</v>
      </c>
      <c r="L121" s="11">
        <v>83</v>
      </c>
      <c r="M121" s="7">
        <v>0</v>
      </c>
      <c r="N121" s="7">
        <v>83</v>
      </c>
      <c r="O121" s="7">
        <v>0</v>
      </c>
      <c r="P121" s="7">
        <v>2</v>
      </c>
      <c r="Q121" s="7">
        <v>0</v>
      </c>
      <c r="R121" s="7">
        <f t="shared" si="41"/>
        <v>188</v>
      </c>
      <c r="S121" s="7">
        <f t="shared" si="33"/>
        <v>193</v>
      </c>
      <c r="T121" s="31">
        <f t="shared" si="34"/>
        <v>-15</v>
      </c>
      <c r="U121" s="8">
        <f t="shared" si="35"/>
        <v>1.0842696629213484</v>
      </c>
      <c r="V121" s="8">
        <f t="shared" si="36"/>
        <v>-8.4269662921348312E-2</v>
      </c>
      <c r="W121" s="8">
        <f t="shared" si="37"/>
        <v>2.8089887640449437E-2</v>
      </c>
      <c r="X121" s="8">
        <f t="shared" si="38"/>
        <v>2.8089887640449437E-2</v>
      </c>
      <c r="Y121" s="8">
        <f t="shared" si="39"/>
        <v>1.0561797752808988</v>
      </c>
    </row>
    <row r="122" spans="1:28">
      <c r="A122" s="1">
        <v>119</v>
      </c>
      <c r="B122" s="22" t="s">
        <v>163</v>
      </c>
      <c r="C122" s="24" t="s">
        <v>174</v>
      </c>
      <c r="D122" s="6">
        <v>44866</v>
      </c>
      <c r="E122" s="20">
        <v>496</v>
      </c>
      <c r="F122" s="20">
        <v>1523</v>
      </c>
      <c r="G122" s="7"/>
      <c r="H122" s="92">
        <v>164</v>
      </c>
      <c r="I122" s="7">
        <f t="shared" si="40"/>
        <v>164</v>
      </c>
      <c r="J122" s="7">
        <v>5</v>
      </c>
      <c r="K122" s="7">
        <v>9</v>
      </c>
      <c r="L122" s="7">
        <v>2</v>
      </c>
      <c r="M122" s="7">
        <v>0</v>
      </c>
      <c r="N122" s="7">
        <v>0</v>
      </c>
      <c r="O122" s="7">
        <v>4</v>
      </c>
      <c r="P122" s="7">
        <v>7</v>
      </c>
      <c r="Q122" s="7">
        <v>2</v>
      </c>
      <c r="R122" s="7">
        <f t="shared" si="41"/>
        <v>29</v>
      </c>
      <c r="S122" s="7">
        <f t="shared" si="33"/>
        <v>193</v>
      </c>
      <c r="T122" s="10">
        <f t="shared" si="34"/>
        <v>303</v>
      </c>
      <c r="U122" s="8">
        <f t="shared" si="35"/>
        <v>0.38911290322580644</v>
      </c>
      <c r="V122" s="8">
        <f t="shared" si="36"/>
        <v>0.61088709677419351</v>
      </c>
      <c r="W122" s="8">
        <f t="shared" si="37"/>
        <v>0</v>
      </c>
      <c r="X122" s="8">
        <f t="shared" si="38"/>
        <v>0.33064516129032256</v>
      </c>
      <c r="Y122" s="8">
        <f t="shared" si="39"/>
        <v>5.8467741935483868E-2</v>
      </c>
    </row>
    <row r="123" spans="1:28">
      <c r="A123" s="1">
        <v>120</v>
      </c>
      <c r="B123" s="22" t="s">
        <v>163</v>
      </c>
      <c r="C123" s="22" t="s">
        <v>173</v>
      </c>
      <c r="D123" s="6">
        <v>44562</v>
      </c>
      <c r="E123" s="20">
        <v>1197</v>
      </c>
      <c r="F123" s="20">
        <v>3494</v>
      </c>
      <c r="G123" s="18">
        <v>87</v>
      </c>
      <c r="H123" s="7"/>
      <c r="I123" s="7">
        <f t="shared" si="40"/>
        <v>87</v>
      </c>
      <c r="J123" s="7">
        <v>0</v>
      </c>
      <c r="K123" s="19">
        <v>1099</v>
      </c>
      <c r="L123" s="7">
        <v>25</v>
      </c>
      <c r="M123" s="7">
        <v>0</v>
      </c>
      <c r="N123" s="7">
        <v>15</v>
      </c>
      <c r="O123" s="7">
        <v>0</v>
      </c>
      <c r="P123" s="7">
        <v>5</v>
      </c>
      <c r="Q123" s="7">
        <v>0</v>
      </c>
      <c r="R123" s="7">
        <f t="shared" si="41"/>
        <v>1144</v>
      </c>
      <c r="S123" s="7">
        <f t="shared" si="33"/>
        <v>1231</v>
      </c>
      <c r="T123" s="31">
        <f t="shared" si="34"/>
        <v>-34</v>
      </c>
      <c r="U123" s="8">
        <f t="shared" si="35"/>
        <v>1.028404344193818</v>
      </c>
      <c r="V123" s="8">
        <f t="shared" si="36"/>
        <v>-2.8404344193817876E-2</v>
      </c>
      <c r="W123" s="8">
        <f t="shared" si="37"/>
        <v>7.2681704260651625E-2</v>
      </c>
      <c r="X123" s="8">
        <f t="shared" si="38"/>
        <v>7.2681704260651625E-2</v>
      </c>
      <c r="Y123" s="8">
        <f t="shared" si="39"/>
        <v>0.9557226399331662</v>
      </c>
    </row>
    <row r="124" spans="1:28">
      <c r="A124" s="1">
        <v>121</v>
      </c>
      <c r="B124" s="22" t="s">
        <v>163</v>
      </c>
      <c r="C124" s="22" t="s">
        <v>178</v>
      </c>
      <c r="D124" s="6">
        <v>44870</v>
      </c>
      <c r="E124" s="20">
        <v>222</v>
      </c>
      <c r="F124" s="20">
        <v>671</v>
      </c>
      <c r="G124" s="7"/>
      <c r="H124" s="7"/>
      <c r="I124" s="7">
        <f t="shared" si="40"/>
        <v>0</v>
      </c>
      <c r="J124" s="7">
        <v>0</v>
      </c>
      <c r="K124" s="7">
        <v>10</v>
      </c>
      <c r="L124" s="7">
        <v>0</v>
      </c>
      <c r="M124" s="7">
        <v>155</v>
      </c>
      <c r="N124" s="7">
        <v>0</v>
      </c>
      <c r="O124" s="7">
        <v>1</v>
      </c>
      <c r="P124" s="7">
        <v>20</v>
      </c>
      <c r="Q124" s="7">
        <v>0</v>
      </c>
      <c r="R124" s="7">
        <f t="shared" si="41"/>
        <v>186</v>
      </c>
      <c r="S124" s="7">
        <f t="shared" si="33"/>
        <v>186</v>
      </c>
      <c r="T124" s="10">
        <f t="shared" si="34"/>
        <v>36</v>
      </c>
      <c r="U124" s="8">
        <f t="shared" si="35"/>
        <v>0.83783783783783783</v>
      </c>
      <c r="V124" s="8">
        <f t="shared" si="36"/>
        <v>0.16216216216216217</v>
      </c>
      <c r="W124" s="8">
        <f t="shared" si="37"/>
        <v>0</v>
      </c>
      <c r="X124" s="8">
        <f t="shared" si="38"/>
        <v>0</v>
      </c>
      <c r="Y124" s="8">
        <f t="shared" si="39"/>
        <v>0.83783783783783783</v>
      </c>
    </row>
    <row r="125" spans="1:28">
      <c r="A125" s="1">
        <v>122</v>
      </c>
      <c r="B125" s="22" t="s">
        <v>181</v>
      </c>
      <c r="C125" s="22" t="s">
        <v>182</v>
      </c>
      <c r="D125" s="6" t="s">
        <v>183</v>
      </c>
      <c r="E125" s="20">
        <v>908</v>
      </c>
      <c r="F125" s="20">
        <v>2761</v>
      </c>
      <c r="G125" s="18">
        <v>398</v>
      </c>
      <c r="H125" s="7"/>
      <c r="I125" s="7">
        <f>H125+G125</f>
        <v>398</v>
      </c>
      <c r="J125" s="7">
        <v>0</v>
      </c>
      <c r="K125" s="7">
        <v>120</v>
      </c>
      <c r="L125" s="7">
        <v>0</v>
      </c>
      <c r="M125" s="32">
        <v>50</v>
      </c>
      <c r="N125" s="9">
        <f>3+111</f>
        <v>114</v>
      </c>
      <c r="O125" s="7">
        <v>0</v>
      </c>
      <c r="P125" s="7">
        <v>0</v>
      </c>
      <c r="Q125" s="7">
        <v>0</v>
      </c>
      <c r="R125" s="7">
        <f t="shared" ref="R125:R140" si="42">SUM(J125:Q125)</f>
        <v>284</v>
      </c>
      <c r="S125" s="7">
        <f t="shared" si="33"/>
        <v>682</v>
      </c>
      <c r="T125" s="10">
        <f t="shared" si="34"/>
        <v>226</v>
      </c>
      <c r="U125" s="8">
        <f t="shared" si="35"/>
        <v>0.75110132158590304</v>
      </c>
      <c r="V125" s="8">
        <f t="shared" si="36"/>
        <v>0.24889867841409691</v>
      </c>
      <c r="W125" s="8">
        <f t="shared" si="37"/>
        <v>0.43832599118942733</v>
      </c>
      <c r="X125" s="8">
        <f t="shared" si="38"/>
        <v>0.43832599118942733</v>
      </c>
      <c r="Y125" s="8">
        <f t="shared" si="39"/>
        <v>0.31277533039647576</v>
      </c>
    </row>
    <row r="126" spans="1:28">
      <c r="A126" s="1">
        <v>123</v>
      </c>
      <c r="B126" s="22" t="s">
        <v>181</v>
      </c>
      <c r="C126" s="22" t="s">
        <v>191</v>
      </c>
      <c r="D126" s="6">
        <v>44621</v>
      </c>
      <c r="E126" s="20">
        <v>2397</v>
      </c>
      <c r="F126" s="20">
        <v>7695</v>
      </c>
      <c r="G126" s="18">
        <v>1906</v>
      </c>
      <c r="H126" s="7"/>
      <c r="I126" s="7">
        <f t="shared" ref="I126:I140" si="43">H126+G126</f>
        <v>1906</v>
      </c>
      <c r="J126" s="7">
        <v>25</v>
      </c>
      <c r="K126" s="7">
        <v>5</v>
      </c>
      <c r="L126" s="7">
        <v>0</v>
      </c>
      <c r="M126" s="7">
        <v>0</v>
      </c>
      <c r="N126" s="7">
        <v>4</v>
      </c>
      <c r="O126" s="7">
        <v>2</v>
      </c>
      <c r="P126" s="7">
        <v>3</v>
      </c>
      <c r="Q126" s="7">
        <v>0</v>
      </c>
      <c r="R126" s="7">
        <f t="shared" si="42"/>
        <v>39</v>
      </c>
      <c r="S126" s="7">
        <f t="shared" si="33"/>
        <v>1945</v>
      </c>
      <c r="T126" s="10">
        <f t="shared" si="34"/>
        <v>452</v>
      </c>
      <c r="U126" s="8">
        <f t="shared" si="35"/>
        <v>0.81143095536086773</v>
      </c>
      <c r="V126" s="8">
        <f t="shared" si="36"/>
        <v>0.18856904463913224</v>
      </c>
      <c r="W126" s="8">
        <f t="shared" si="37"/>
        <v>0.79516061743846478</v>
      </c>
      <c r="X126" s="8">
        <f t="shared" si="38"/>
        <v>0.79516061743846478</v>
      </c>
      <c r="Y126" s="8">
        <f t="shared" si="39"/>
        <v>1.6270337922403004E-2</v>
      </c>
    </row>
    <row r="127" spans="1:28">
      <c r="A127" s="1">
        <v>124</v>
      </c>
      <c r="B127" s="22" t="s">
        <v>181</v>
      </c>
      <c r="C127" s="23" t="s">
        <v>194</v>
      </c>
      <c r="D127" s="6" t="s">
        <v>195</v>
      </c>
      <c r="E127" s="20">
        <v>1146</v>
      </c>
      <c r="F127" s="20">
        <v>3434</v>
      </c>
      <c r="G127" s="7"/>
      <c r="H127" s="7"/>
      <c r="I127" s="7">
        <f t="shared" si="43"/>
        <v>0</v>
      </c>
      <c r="J127" s="7">
        <v>9</v>
      </c>
      <c r="K127" s="7">
        <v>0</v>
      </c>
      <c r="L127" s="7">
        <v>0</v>
      </c>
      <c r="M127" s="7">
        <v>5</v>
      </c>
      <c r="N127" s="7">
        <v>0</v>
      </c>
      <c r="O127" s="7">
        <v>0</v>
      </c>
      <c r="P127" s="7">
        <v>0</v>
      </c>
      <c r="Q127" s="7">
        <v>0</v>
      </c>
      <c r="R127" s="7">
        <f t="shared" si="42"/>
        <v>14</v>
      </c>
      <c r="S127" s="7">
        <f t="shared" si="33"/>
        <v>14</v>
      </c>
      <c r="T127" s="10">
        <f t="shared" si="34"/>
        <v>1132</v>
      </c>
      <c r="U127" s="8">
        <f t="shared" si="35"/>
        <v>1.2216404886561954E-2</v>
      </c>
      <c r="V127" s="8">
        <f t="shared" si="36"/>
        <v>0.98778359511343805</v>
      </c>
      <c r="W127" s="8">
        <f t="shared" si="37"/>
        <v>0</v>
      </c>
      <c r="X127" s="8">
        <f t="shared" si="38"/>
        <v>0</v>
      </c>
      <c r="Y127" s="8">
        <f t="shared" si="39"/>
        <v>1.2216404886561954E-2</v>
      </c>
    </row>
    <row r="128" spans="1:28">
      <c r="A128" s="1">
        <v>125</v>
      </c>
      <c r="B128" s="22" t="s">
        <v>181</v>
      </c>
      <c r="C128" s="22" t="s">
        <v>192</v>
      </c>
      <c r="D128" s="6" t="s">
        <v>193</v>
      </c>
      <c r="E128" s="20">
        <v>1272</v>
      </c>
      <c r="F128" s="20">
        <v>3955</v>
      </c>
      <c r="G128" s="18">
        <v>788</v>
      </c>
      <c r="H128" s="7"/>
      <c r="I128" s="7">
        <f t="shared" si="43"/>
        <v>788</v>
      </c>
      <c r="J128" s="7">
        <v>2</v>
      </c>
      <c r="K128" s="7">
        <v>13</v>
      </c>
      <c r="L128" s="7">
        <v>0</v>
      </c>
      <c r="M128" s="7">
        <v>0</v>
      </c>
      <c r="N128" s="7">
        <v>0</v>
      </c>
      <c r="O128" s="7">
        <v>1</v>
      </c>
      <c r="P128" s="7">
        <v>0</v>
      </c>
      <c r="Q128" s="7">
        <v>0</v>
      </c>
      <c r="R128" s="7">
        <f t="shared" si="42"/>
        <v>16</v>
      </c>
      <c r="S128" s="7">
        <f t="shared" si="33"/>
        <v>804</v>
      </c>
      <c r="T128" s="10">
        <f t="shared" si="34"/>
        <v>468</v>
      </c>
      <c r="U128" s="8">
        <f t="shared" si="35"/>
        <v>0.63207547169811318</v>
      </c>
      <c r="V128" s="8">
        <f t="shared" si="36"/>
        <v>0.36792452830188677</v>
      </c>
      <c r="W128" s="8">
        <f t="shared" si="37"/>
        <v>0.61949685534591192</v>
      </c>
      <c r="X128" s="8">
        <f t="shared" si="38"/>
        <v>0.61949685534591192</v>
      </c>
      <c r="Y128" s="8">
        <f t="shared" si="39"/>
        <v>1.2578616352201259E-2</v>
      </c>
    </row>
    <row r="129" spans="1:25">
      <c r="A129" s="1">
        <v>126</v>
      </c>
      <c r="B129" s="22" t="s">
        <v>181</v>
      </c>
      <c r="C129" s="23" t="s">
        <v>188</v>
      </c>
      <c r="D129" s="6">
        <v>44501</v>
      </c>
      <c r="E129" s="20">
        <v>335</v>
      </c>
      <c r="F129" s="20">
        <v>1042</v>
      </c>
      <c r="G129" s="18">
        <v>27</v>
      </c>
      <c r="H129" s="7"/>
      <c r="I129" s="7">
        <f t="shared" si="43"/>
        <v>27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3</v>
      </c>
      <c r="P129" s="7">
        <v>0</v>
      </c>
      <c r="Q129" s="7">
        <v>0</v>
      </c>
      <c r="R129" s="7">
        <f t="shared" si="42"/>
        <v>3</v>
      </c>
      <c r="S129" s="7">
        <f t="shared" si="33"/>
        <v>30</v>
      </c>
      <c r="T129" s="10">
        <f t="shared" si="34"/>
        <v>305</v>
      </c>
      <c r="U129" s="8">
        <f t="shared" si="35"/>
        <v>8.9552238805970144E-2</v>
      </c>
      <c r="V129" s="8">
        <f t="shared" si="36"/>
        <v>0.91044776119402981</v>
      </c>
      <c r="W129" s="8">
        <f t="shared" si="37"/>
        <v>8.0597014925373134E-2</v>
      </c>
      <c r="X129" s="8">
        <f t="shared" si="38"/>
        <v>8.0597014925373134E-2</v>
      </c>
      <c r="Y129" s="8">
        <f t="shared" si="39"/>
        <v>8.9552238805970154E-3</v>
      </c>
    </row>
    <row r="130" spans="1:25">
      <c r="A130" s="1">
        <v>127</v>
      </c>
      <c r="B130" s="22" t="s">
        <v>181</v>
      </c>
      <c r="C130" s="23" t="s">
        <v>196</v>
      </c>
      <c r="D130" s="6">
        <v>44470</v>
      </c>
      <c r="E130" s="20">
        <v>176</v>
      </c>
      <c r="F130" s="20">
        <v>526</v>
      </c>
      <c r="G130" s="7"/>
      <c r="H130" s="7"/>
      <c r="I130" s="7">
        <f t="shared" si="43"/>
        <v>0</v>
      </c>
      <c r="J130" s="7">
        <v>0</v>
      </c>
      <c r="K130" s="7">
        <v>2</v>
      </c>
      <c r="L130" s="7">
        <v>0</v>
      </c>
      <c r="M130" s="7">
        <v>0</v>
      </c>
      <c r="N130" s="7">
        <v>8</v>
      </c>
      <c r="O130" s="7">
        <v>1</v>
      </c>
      <c r="P130" s="7">
        <v>1</v>
      </c>
      <c r="Q130" s="7">
        <v>2</v>
      </c>
      <c r="R130" s="7">
        <f t="shared" si="42"/>
        <v>14</v>
      </c>
      <c r="S130" s="7">
        <f t="shared" si="33"/>
        <v>14</v>
      </c>
      <c r="T130" s="10">
        <f t="shared" si="34"/>
        <v>162</v>
      </c>
      <c r="U130" s="8">
        <f t="shared" si="35"/>
        <v>7.9545454545454544E-2</v>
      </c>
      <c r="V130" s="8">
        <f t="shared" si="36"/>
        <v>0.92045454545454541</v>
      </c>
      <c r="W130" s="8">
        <f t="shared" si="37"/>
        <v>0</v>
      </c>
      <c r="X130" s="8">
        <f t="shared" si="38"/>
        <v>0</v>
      </c>
      <c r="Y130" s="8">
        <f t="shared" si="39"/>
        <v>7.9545454545454544E-2</v>
      </c>
    </row>
    <row r="131" spans="1:25">
      <c r="A131" s="1">
        <v>128</v>
      </c>
      <c r="B131" s="22" t="s">
        <v>181</v>
      </c>
      <c r="C131" s="23" t="s">
        <v>197</v>
      </c>
      <c r="D131" s="6" t="s">
        <v>198</v>
      </c>
      <c r="E131" s="20">
        <v>290</v>
      </c>
      <c r="F131" s="20">
        <v>1008</v>
      </c>
      <c r="G131" s="7"/>
      <c r="H131" s="7"/>
      <c r="I131" s="7">
        <f t="shared" si="43"/>
        <v>0</v>
      </c>
      <c r="J131" s="7">
        <v>0</v>
      </c>
      <c r="K131" s="7">
        <v>2</v>
      </c>
      <c r="L131" s="7">
        <v>0</v>
      </c>
      <c r="M131" s="7">
        <v>0</v>
      </c>
      <c r="N131" s="7">
        <v>1</v>
      </c>
      <c r="O131" s="7">
        <v>0</v>
      </c>
      <c r="P131" s="7">
        <v>0</v>
      </c>
      <c r="Q131" s="7">
        <v>0</v>
      </c>
      <c r="R131" s="7">
        <f t="shared" si="42"/>
        <v>3</v>
      </c>
      <c r="S131" s="7">
        <f t="shared" si="33"/>
        <v>3</v>
      </c>
      <c r="T131" s="10">
        <f t="shared" si="34"/>
        <v>287</v>
      </c>
      <c r="U131" s="8">
        <f t="shared" si="35"/>
        <v>1.0344827586206896E-2</v>
      </c>
      <c r="V131" s="8">
        <f t="shared" si="36"/>
        <v>0.98965517241379308</v>
      </c>
      <c r="W131" s="8">
        <f t="shared" si="37"/>
        <v>0</v>
      </c>
      <c r="X131" s="8">
        <f t="shared" si="38"/>
        <v>0</v>
      </c>
      <c r="Y131" s="8">
        <f t="shared" si="39"/>
        <v>1.0344827586206896E-2</v>
      </c>
    </row>
    <row r="132" spans="1:25">
      <c r="A132" s="1">
        <v>129</v>
      </c>
      <c r="B132" s="22" t="s">
        <v>181</v>
      </c>
      <c r="C132" s="22" t="s">
        <v>190</v>
      </c>
      <c r="D132" s="6">
        <v>44899</v>
      </c>
      <c r="E132" s="20">
        <v>464</v>
      </c>
      <c r="F132" s="20">
        <v>1495</v>
      </c>
      <c r="G132" s="92">
        <v>46</v>
      </c>
      <c r="H132" s="7"/>
      <c r="I132" s="7">
        <f t="shared" si="43"/>
        <v>46</v>
      </c>
      <c r="J132" s="7">
        <v>0</v>
      </c>
      <c r="K132" s="7">
        <v>200</v>
      </c>
      <c r="L132" s="7">
        <v>0</v>
      </c>
      <c r="M132" s="7">
        <v>100</v>
      </c>
      <c r="N132" s="7">
        <v>0</v>
      </c>
      <c r="O132" s="7">
        <v>0</v>
      </c>
      <c r="P132" s="7">
        <v>1</v>
      </c>
      <c r="Q132" s="7">
        <v>0</v>
      </c>
      <c r="R132" s="7">
        <f t="shared" si="42"/>
        <v>301</v>
      </c>
      <c r="S132" s="7">
        <f t="shared" ref="S132:S147" si="44">R132+I132</f>
        <v>347</v>
      </c>
      <c r="T132" s="10">
        <f t="shared" ref="T132:T147" si="45">E132-S132</f>
        <v>117</v>
      </c>
      <c r="U132" s="8">
        <f t="shared" ref="U132:U147" si="46">S132/E132</f>
        <v>0.74784482758620685</v>
      </c>
      <c r="V132" s="8">
        <f t="shared" ref="V132:V147" si="47">T132/E132</f>
        <v>0.25215517241379309</v>
      </c>
      <c r="W132" s="8">
        <f t="shared" ref="W132:W147" si="48">G132/E132</f>
        <v>9.9137931034482762E-2</v>
      </c>
      <c r="X132" s="8">
        <f t="shared" ref="X132:X147" si="49">I132/E132</f>
        <v>9.9137931034482762E-2</v>
      </c>
      <c r="Y132" s="8">
        <f t="shared" ref="Y132:Y147" si="50">R132/E132</f>
        <v>0.64870689655172409</v>
      </c>
    </row>
    <row r="133" spans="1:25">
      <c r="A133" s="1">
        <v>130</v>
      </c>
      <c r="B133" s="22" t="s">
        <v>181</v>
      </c>
      <c r="C133" s="22" t="s">
        <v>184</v>
      </c>
      <c r="D133" s="6" t="s">
        <v>150</v>
      </c>
      <c r="E133" s="20">
        <v>628</v>
      </c>
      <c r="F133" s="20">
        <v>1869</v>
      </c>
      <c r="G133" s="92">
        <v>465</v>
      </c>
      <c r="H133" s="7"/>
      <c r="I133" s="7">
        <f t="shared" si="43"/>
        <v>465</v>
      </c>
      <c r="J133" s="7">
        <v>0</v>
      </c>
      <c r="K133" s="7">
        <v>25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f t="shared" si="42"/>
        <v>25</v>
      </c>
      <c r="S133" s="7">
        <f t="shared" si="44"/>
        <v>490</v>
      </c>
      <c r="T133" s="10">
        <f t="shared" si="45"/>
        <v>138</v>
      </c>
      <c r="U133" s="8">
        <f t="shared" si="46"/>
        <v>0.78025477707006374</v>
      </c>
      <c r="V133" s="8">
        <f t="shared" si="47"/>
        <v>0.21974522292993631</v>
      </c>
      <c r="W133" s="8">
        <f t="shared" si="48"/>
        <v>0.74044585987261147</v>
      </c>
      <c r="X133" s="8">
        <f t="shared" si="49"/>
        <v>0.74044585987261147</v>
      </c>
      <c r="Y133" s="8">
        <f t="shared" si="50"/>
        <v>3.9808917197452227E-2</v>
      </c>
    </row>
    <row r="134" spans="1:25">
      <c r="A134" s="1">
        <v>131</v>
      </c>
      <c r="B134" s="22" t="s">
        <v>181</v>
      </c>
      <c r="C134" s="22" t="s">
        <v>200</v>
      </c>
      <c r="D134" s="6">
        <v>44866</v>
      </c>
      <c r="E134" s="21">
        <v>2719</v>
      </c>
      <c r="F134" s="21">
        <v>8508</v>
      </c>
      <c r="G134" s="18">
        <v>1193</v>
      </c>
      <c r="H134" s="7"/>
      <c r="I134" s="7">
        <f t="shared" si="43"/>
        <v>1193</v>
      </c>
      <c r="J134" s="7">
        <v>150</v>
      </c>
      <c r="K134" s="7">
        <v>2</v>
      </c>
      <c r="L134" s="7">
        <v>0</v>
      </c>
      <c r="M134" s="7">
        <v>3</v>
      </c>
      <c r="N134" s="7">
        <v>0</v>
      </c>
      <c r="O134" s="7">
        <v>0</v>
      </c>
      <c r="P134" s="7">
        <v>200</v>
      </c>
      <c r="Q134" s="7">
        <v>0</v>
      </c>
      <c r="R134" s="7">
        <f t="shared" si="42"/>
        <v>355</v>
      </c>
      <c r="S134" s="7">
        <f t="shared" si="44"/>
        <v>1548</v>
      </c>
      <c r="T134" s="10">
        <f t="shared" si="45"/>
        <v>1171</v>
      </c>
      <c r="U134" s="8">
        <f t="shared" si="46"/>
        <v>0.56932695844060321</v>
      </c>
      <c r="V134" s="8">
        <f t="shared" si="47"/>
        <v>0.43067304155939684</v>
      </c>
      <c r="W134" s="8">
        <f t="shared" si="48"/>
        <v>0.43876425156307464</v>
      </c>
      <c r="X134" s="8">
        <f t="shared" si="49"/>
        <v>0.43876425156307464</v>
      </c>
      <c r="Y134" s="8">
        <f t="shared" si="50"/>
        <v>0.13056270687752849</v>
      </c>
    </row>
    <row r="135" spans="1:25">
      <c r="A135" s="1">
        <v>132</v>
      </c>
      <c r="B135" s="22" t="s">
        <v>181</v>
      </c>
      <c r="C135" s="23" t="s">
        <v>199</v>
      </c>
      <c r="D135" s="6" t="s">
        <v>99</v>
      </c>
      <c r="E135" s="20">
        <v>128</v>
      </c>
      <c r="F135" s="20">
        <v>392</v>
      </c>
      <c r="G135" s="7"/>
      <c r="H135" s="7"/>
      <c r="I135" s="7">
        <f t="shared" si="43"/>
        <v>0</v>
      </c>
      <c r="J135" s="7">
        <v>0</v>
      </c>
      <c r="K135" s="7">
        <v>2</v>
      </c>
      <c r="L135" s="7">
        <v>0</v>
      </c>
      <c r="M135" s="7">
        <v>0</v>
      </c>
      <c r="N135" s="7">
        <v>3</v>
      </c>
      <c r="O135" s="7">
        <v>1</v>
      </c>
      <c r="P135" s="7">
        <v>0</v>
      </c>
      <c r="Q135" s="7">
        <v>1</v>
      </c>
      <c r="R135" s="7">
        <f t="shared" si="42"/>
        <v>7</v>
      </c>
      <c r="S135" s="7">
        <f t="shared" si="44"/>
        <v>7</v>
      </c>
      <c r="T135" s="10">
        <f t="shared" si="45"/>
        <v>121</v>
      </c>
      <c r="U135" s="8">
        <f t="shared" si="46"/>
        <v>5.46875E-2</v>
      </c>
      <c r="V135" s="8">
        <f t="shared" si="47"/>
        <v>0.9453125</v>
      </c>
      <c r="W135" s="8">
        <f t="shared" si="48"/>
        <v>0</v>
      </c>
      <c r="X135" s="8">
        <f t="shared" si="49"/>
        <v>0</v>
      </c>
      <c r="Y135" s="8">
        <f t="shared" si="50"/>
        <v>5.46875E-2</v>
      </c>
    </row>
    <row r="136" spans="1:25">
      <c r="A136" s="1">
        <v>133</v>
      </c>
      <c r="B136" s="22" t="s">
        <v>181</v>
      </c>
      <c r="C136" s="22" t="s">
        <v>189</v>
      </c>
      <c r="D136" s="6" t="s">
        <v>183</v>
      </c>
      <c r="E136" s="20">
        <v>768</v>
      </c>
      <c r="F136" s="20">
        <v>2350</v>
      </c>
      <c r="G136" s="18">
        <v>358</v>
      </c>
      <c r="H136" s="7"/>
      <c r="I136" s="7">
        <f t="shared" si="43"/>
        <v>358</v>
      </c>
      <c r="J136" s="7">
        <v>0</v>
      </c>
      <c r="K136" s="7">
        <v>5</v>
      </c>
      <c r="L136" s="7">
        <v>0</v>
      </c>
      <c r="M136" s="7">
        <v>8</v>
      </c>
      <c r="N136" s="7">
        <v>1</v>
      </c>
      <c r="O136" s="7">
        <v>0</v>
      </c>
      <c r="P136" s="7">
        <v>3</v>
      </c>
      <c r="Q136" s="7">
        <v>1</v>
      </c>
      <c r="R136" s="7">
        <f t="shared" si="42"/>
        <v>18</v>
      </c>
      <c r="S136" s="7">
        <f t="shared" si="44"/>
        <v>376</v>
      </c>
      <c r="T136" s="10">
        <f t="shared" si="45"/>
        <v>392</v>
      </c>
      <c r="U136" s="8">
        <f t="shared" si="46"/>
        <v>0.48958333333333331</v>
      </c>
      <c r="V136" s="8">
        <f t="shared" si="47"/>
        <v>0.51041666666666663</v>
      </c>
      <c r="W136" s="8">
        <f t="shared" si="48"/>
        <v>0.46614583333333331</v>
      </c>
      <c r="X136" s="8">
        <f t="shared" si="49"/>
        <v>0.46614583333333331</v>
      </c>
      <c r="Y136" s="8">
        <f t="shared" si="50"/>
        <v>2.34375E-2</v>
      </c>
    </row>
    <row r="137" spans="1:25">
      <c r="A137" s="1">
        <v>134</v>
      </c>
      <c r="B137" s="22" t="s">
        <v>181</v>
      </c>
      <c r="C137" s="22" t="s">
        <v>181</v>
      </c>
      <c r="D137" s="6">
        <v>44776</v>
      </c>
      <c r="E137" s="21">
        <v>10310</v>
      </c>
      <c r="F137" s="21">
        <v>32185</v>
      </c>
      <c r="G137" s="18">
        <v>8511</v>
      </c>
      <c r="H137" s="7"/>
      <c r="I137" s="7">
        <f t="shared" si="43"/>
        <v>8511</v>
      </c>
      <c r="J137" s="7">
        <v>5</v>
      </c>
      <c r="K137" s="7">
        <v>15</v>
      </c>
      <c r="L137" s="7">
        <v>2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f t="shared" si="42"/>
        <v>22</v>
      </c>
      <c r="S137" s="7">
        <f t="shared" si="44"/>
        <v>8533</v>
      </c>
      <c r="T137" s="10">
        <f t="shared" si="45"/>
        <v>1777</v>
      </c>
      <c r="U137" s="8">
        <f t="shared" si="46"/>
        <v>0.82764306498545104</v>
      </c>
      <c r="V137" s="8">
        <f t="shared" si="47"/>
        <v>0.17235693501454899</v>
      </c>
      <c r="W137" s="8">
        <f t="shared" si="48"/>
        <v>0.82550921435499514</v>
      </c>
      <c r="X137" s="8">
        <f t="shared" si="49"/>
        <v>0.82550921435499514</v>
      </c>
      <c r="Y137" s="8">
        <f t="shared" si="50"/>
        <v>2.1338506304558681E-3</v>
      </c>
    </row>
    <row r="138" spans="1:25">
      <c r="A138" s="1">
        <v>135</v>
      </c>
      <c r="B138" s="22" t="s">
        <v>181</v>
      </c>
      <c r="C138" s="22" t="s">
        <v>186</v>
      </c>
      <c r="D138" s="6" t="s">
        <v>187</v>
      </c>
      <c r="E138" s="20">
        <v>1291</v>
      </c>
      <c r="F138" s="20">
        <v>4098</v>
      </c>
      <c r="G138" s="18">
        <v>920</v>
      </c>
      <c r="H138" s="7"/>
      <c r="I138" s="7">
        <f t="shared" si="43"/>
        <v>920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7">
        <v>0</v>
      </c>
      <c r="Q138" s="7">
        <v>0</v>
      </c>
      <c r="R138" s="7">
        <f t="shared" si="42"/>
        <v>1</v>
      </c>
      <c r="S138" s="7">
        <f t="shared" si="44"/>
        <v>921</v>
      </c>
      <c r="T138" s="10">
        <f t="shared" si="45"/>
        <v>370</v>
      </c>
      <c r="U138" s="8">
        <f t="shared" si="46"/>
        <v>0.71340046475600305</v>
      </c>
      <c r="V138" s="8">
        <f t="shared" si="47"/>
        <v>0.28659953524399689</v>
      </c>
      <c r="W138" s="8">
        <f t="shared" si="48"/>
        <v>0.71262587141750577</v>
      </c>
      <c r="X138" s="8">
        <f t="shared" si="49"/>
        <v>0.71262587141750577</v>
      </c>
      <c r="Y138" s="8">
        <f t="shared" si="50"/>
        <v>7.7459333849728897E-4</v>
      </c>
    </row>
    <row r="139" spans="1:25">
      <c r="A139" s="1">
        <v>136</v>
      </c>
      <c r="B139" s="22" t="s">
        <v>181</v>
      </c>
      <c r="C139" s="22" t="s">
        <v>201</v>
      </c>
      <c r="D139" s="6" t="s">
        <v>55</v>
      </c>
      <c r="E139" s="21">
        <v>1509</v>
      </c>
      <c r="F139" s="21">
        <v>4844</v>
      </c>
      <c r="G139" s="92">
        <v>1259</v>
      </c>
      <c r="H139" s="7"/>
      <c r="I139" s="7">
        <f t="shared" si="43"/>
        <v>1259</v>
      </c>
      <c r="J139" s="7">
        <v>0</v>
      </c>
      <c r="K139" s="7">
        <v>4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f t="shared" si="42"/>
        <v>4</v>
      </c>
      <c r="S139" s="7">
        <f t="shared" si="44"/>
        <v>1263</v>
      </c>
      <c r="T139" s="10">
        <f t="shared" si="45"/>
        <v>246</v>
      </c>
      <c r="U139" s="8">
        <f t="shared" si="46"/>
        <v>0.83697813121272369</v>
      </c>
      <c r="V139" s="8">
        <f t="shared" si="47"/>
        <v>0.16302186878727634</v>
      </c>
      <c r="W139" s="8">
        <f t="shared" si="48"/>
        <v>0.8343273691186216</v>
      </c>
      <c r="X139" s="8">
        <f t="shared" si="49"/>
        <v>0.8343273691186216</v>
      </c>
      <c r="Y139" s="8">
        <f t="shared" si="50"/>
        <v>2.6507620941020544E-3</v>
      </c>
    </row>
    <row r="140" spans="1:25">
      <c r="A140" s="1">
        <v>137</v>
      </c>
      <c r="B140" s="22" t="s">
        <v>181</v>
      </c>
      <c r="C140" s="22" t="s">
        <v>185</v>
      </c>
      <c r="D140" s="6">
        <v>44875</v>
      </c>
      <c r="E140" s="21">
        <v>1951</v>
      </c>
      <c r="F140" s="21">
        <v>6125</v>
      </c>
      <c r="G140" s="18">
        <v>1099</v>
      </c>
      <c r="H140" s="7"/>
      <c r="I140" s="7">
        <f t="shared" si="43"/>
        <v>1099</v>
      </c>
      <c r="J140" s="7">
        <v>0</v>
      </c>
      <c r="K140" s="7">
        <v>149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f t="shared" si="42"/>
        <v>149</v>
      </c>
      <c r="S140" s="7">
        <f t="shared" si="44"/>
        <v>1248</v>
      </c>
      <c r="T140" s="10">
        <f t="shared" si="45"/>
        <v>703</v>
      </c>
      <c r="U140" s="8">
        <f t="shared" si="46"/>
        <v>0.63967196309584828</v>
      </c>
      <c r="V140" s="8">
        <f t="shared" si="47"/>
        <v>0.36032803690415172</v>
      </c>
      <c r="W140" s="8">
        <f t="shared" si="48"/>
        <v>0.56330087134802664</v>
      </c>
      <c r="X140" s="8">
        <f t="shared" si="49"/>
        <v>0.56330087134802664</v>
      </c>
      <c r="Y140" s="8">
        <f t="shared" si="50"/>
        <v>7.6371091747821626E-2</v>
      </c>
    </row>
    <row r="141" spans="1:25">
      <c r="A141" s="1">
        <v>138</v>
      </c>
      <c r="B141" s="22" t="s">
        <v>202</v>
      </c>
      <c r="C141" s="22" t="s">
        <v>203</v>
      </c>
      <c r="D141" s="6">
        <v>44777</v>
      </c>
      <c r="E141" s="20">
        <v>262</v>
      </c>
      <c r="F141" s="20">
        <v>758</v>
      </c>
      <c r="G141" s="1"/>
      <c r="H141" s="30">
        <v>250</v>
      </c>
      <c r="I141" s="7">
        <f t="shared" ref="I141:I147" si="51">H141+G141</f>
        <v>250</v>
      </c>
      <c r="J141" s="7">
        <v>1</v>
      </c>
      <c r="K141" s="7">
        <v>6</v>
      </c>
      <c r="L141" s="7">
        <v>1</v>
      </c>
      <c r="M141" s="7">
        <v>1</v>
      </c>
      <c r="N141" s="7">
        <v>0</v>
      </c>
      <c r="O141" s="7">
        <v>4</v>
      </c>
      <c r="P141" s="7">
        <v>6</v>
      </c>
      <c r="Q141" s="7">
        <v>0</v>
      </c>
      <c r="R141" s="1">
        <f t="shared" ref="R141:R147" si="52">SUM(J141:Q141)</f>
        <v>19</v>
      </c>
      <c r="S141" s="7">
        <f t="shared" si="44"/>
        <v>269</v>
      </c>
      <c r="T141" s="31">
        <f t="shared" si="45"/>
        <v>-7</v>
      </c>
      <c r="U141" s="8">
        <f t="shared" si="46"/>
        <v>1.0267175572519085</v>
      </c>
      <c r="V141" s="8">
        <f t="shared" si="47"/>
        <v>-2.6717557251908396E-2</v>
      </c>
      <c r="W141" s="8">
        <f t="shared" si="48"/>
        <v>0</v>
      </c>
      <c r="X141" s="8">
        <f t="shared" si="49"/>
        <v>0.95419847328244278</v>
      </c>
      <c r="Y141" s="8">
        <f t="shared" si="50"/>
        <v>7.2519083969465645E-2</v>
      </c>
    </row>
    <row r="142" spans="1:25">
      <c r="A142" s="1">
        <v>139</v>
      </c>
      <c r="B142" s="22" t="s">
        <v>202</v>
      </c>
      <c r="C142" s="23" t="s">
        <v>205</v>
      </c>
      <c r="D142" s="6" t="s">
        <v>85</v>
      </c>
      <c r="E142" s="20">
        <v>321</v>
      </c>
      <c r="F142" s="20">
        <v>939</v>
      </c>
      <c r="G142" s="1"/>
      <c r="H142" s="1"/>
      <c r="I142" s="7">
        <f t="shared" si="51"/>
        <v>0</v>
      </c>
      <c r="J142" s="7">
        <v>0</v>
      </c>
      <c r="K142" s="7">
        <v>0</v>
      </c>
      <c r="L142" s="7">
        <v>0</v>
      </c>
      <c r="M142" s="7">
        <v>5</v>
      </c>
      <c r="N142" s="7">
        <v>0</v>
      </c>
      <c r="O142" s="7">
        <v>0</v>
      </c>
      <c r="P142" s="7">
        <v>0</v>
      </c>
      <c r="Q142" s="7">
        <v>0</v>
      </c>
      <c r="R142" s="1">
        <f t="shared" si="52"/>
        <v>5</v>
      </c>
      <c r="S142" s="7">
        <f t="shared" si="44"/>
        <v>5</v>
      </c>
      <c r="T142" s="10">
        <f t="shared" si="45"/>
        <v>316</v>
      </c>
      <c r="U142" s="8">
        <f t="shared" si="46"/>
        <v>1.5576323987538941E-2</v>
      </c>
      <c r="V142" s="8">
        <f t="shared" si="47"/>
        <v>0.98442367601246106</v>
      </c>
      <c r="W142" s="8">
        <f t="shared" si="48"/>
        <v>0</v>
      </c>
      <c r="X142" s="8">
        <f t="shared" si="49"/>
        <v>0</v>
      </c>
      <c r="Y142" s="8">
        <f t="shared" si="50"/>
        <v>1.5576323987538941E-2</v>
      </c>
    </row>
    <row r="143" spans="1:25">
      <c r="A143" s="1">
        <v>140</v>
      </c>
      <c r="B143" s="22" t="s">
        <v>202</v>
      </c>
      <c r="C143" s="23" t="s">
        <v>207</v>
      </c>
      <c r="D143" s="6" t="s">
        <v>108</v>
      </c>
      <c r="E143" s="20">
        <v>820</v>
      </c>
      <c r="F143" s="20">
        <v>2451</v>
      </c>
      <c r="G143" s="1"/>
      <c r="H143" s="30">
        <v>250</v>
      </c>
      <c r="I143" s="7">
        <f t="shared" si="51"/>
        <v>250</v>
      </c>
      <c r="J143" s="7">
        <v>0</v>
      </c>
      <c r="K143" s="7">
        <v>10</v>
      </c>
      <c r="L143" s="7">
        <v>0</v>
      </c>
      <c r="M143" s="7">
        <v>1</v>
      </c>
      <c r="N143" s="7">
        <v>0</v>
      </c>
      <c r="O143" s="7">
        <v>1</v>
      </c>
      <c r="P143" s="7">
        <v>1</v>
      </c>
      <c r="Q143" s="7">
        <v>2</v>
      </c>
      <c r="R143" s="1">
        <f t="shared" si="52"/>
        <v>15</v>
      </c>
      <c r="S143" s="7">
        <f t="shared" si="44"/>
        <v>265</v>
      </c>
      <c r="T143" s="10">
        <f t="shared" si="45"/>
        <v>555</v>
      </c>
      <c r="U143" s="8">
        <f t="shared" si="46"/>
        <v>0.32317073170731708</v>
      </c>
      <c r="V143" s="8">
        <f t="shared" si="47"/>
        <v>0.67682926829268297</v>
      </c>
      <c r="W143" s="8">
        <f t="shared" si="48"/>
        <v>0</v>
      </c>
      <c r="X143" s="8">
        <f t="shared" si="49"/>
        <v>0.3048780487804878</v>
      </c>
      <c r="Y143" s="8">
        <f t="shared" si="50"/>
        <v>1.8292682926829267E-2</v>
      </c>
    </row>
    <row r="144" spans="1:25">
      <c r="A144" s="1">
        <v>141</v>
      </c>
      <c r="B144" s="22" t="s">
        <v>202</v>
      </c>
      <c r="C144" s="23" t="s">
        <v>208</v>
      </c>
      <c r="D144" s="6">
        <v>44320</v>
      </c>
      <c r="E144" s="20">
        <v>219</v>
      </c>
      <c r="F144" s="20">
        <v>687</v>
      </c>
      <c r="G144" s="1"/>
      <c r="H144" s="1"/>
      <c r="I144" s="7">
        <f t="shared" si="51"/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1">
        <f t="shared" si="52"/>
        <v>0</v>
      </c>
      <c r="S144" s="7">
        <f t="shared" si="44"/>
        <v>0</v>
      </c>
      <c r="T144" s="10">
        <f t="shared" si="45"/>
        <v>219</v>
      </c>
      <c r="U144" s="8">
        <f t="shared" si="46"/>
        <v>0</v>
      </c>
      <c r="V144" s="8">
        <f t="shared" si="47"/>
        <v>1</v>
      </c>
      <c r="W144" s="8">
        <f t="shared" si="48"/>
        <v>0</v>
      </c>
      <c r="X144" s="8">
        <f t="shared" si="49"/>
        <v>0</v>
      </c>
      <c r="Y144" s="8">
        <f t="shared" si="50"/>
        <v>0</v>
      </c>
    </row>
    <row r="145" spans="1:25">
      <c r="A145" s="1">
        <v>142</v>
      </c>
      <c r="B145" s="22" t="s">
        <v>202</v>
      </c>
      <c r="C145" s="23" t="s">
        <v>206</v>
      </c>
      <c r="D145" s="6" t="s">
        <v>149</v>
      </c>
      <c r="E145" s="20">
        <v>420</v>
      </c>
      <c r="F145" s="20">
        <v>1333</v>
      </c>
      <c r="G145" s="1"/>
      <c r="H145" s="1"/>
      <c r="I145" s="7">
        <f t="shared" si="51"/>
        <v>0</v>
      </c>
      <c r="J145" s="7">
        <v>0</v>
      </c>
      <c r="K145" s="7">
        <v>2</v>
      </c>
      <c r="L145" s="7">
        <v>0</v>
      </c>
      <c r="M145" s="7">
        <v>4</v>
      </c>
      <c r="N145" s="7">
        <v>0</v>
      </c>
      <c r="O145" s="7">
        <v>0</v>
      </c>
      <c r="P145" s="7">
        <v>0</v>
      </c>
      <c r="Q145" s="7">
        <v>0</v>
      </c>
      <c r="R145" s="1">
        <f t="shared" si="52"/>
        <v>6</v>
      </c>
      <c r="S145" s="7">
        <f t="shared" si="44"/>
        <v>6</v>
      </c>
      <c r="T145" s="10">
        <f t="shared" si="45"/>
        <v>414</v>
      </c>
      <c r="U145" s="8">
        <f t="shared" si="46"/>
        <v>1.4285714285714285E-2</v>
      </c>
      <c r="V145" s="8">
        <f t="shared" si="47"/>
        <v>0.98571428571428577</v>
      </c>
      <c r="W145" s="8">
        <f t="shared" si="48"/>
        <v>0</v>
      </c>
      <c r="X145" s="8">
        <f t="shared" si="49"/>
        <v>0</v>
      </c>
      <c r="Y145" s="8">
        <f t="shared" si="50"/>
        <v>1.4285714285714285E-2</v>
      </c>
    </row>
    <row r="146" spans="1:25">
      <c r="A146" s="1">
        <v>143</v>
      </c>
      <c r="B146" s="22" t="s">
        <v>202</v>
      </c>
      <c r="C146" s="23" t="s">
        <v>209</v>
      </c>
      <c r="D146" s="6" t="s">
        <v>64</v>
      </c>
      <c r="E146" s="20">
        <v>270</v>
      </c>
      <c r="F146" s="20">
        <v>832</v>
      </c>
      <c r="G146" s="1"/>
      <c r="H146" s="1"/>
      <c r="I146" s="7">
        <f t="shared" si="51"/>
        <v>0</v>
      </c>
      <c r="J146" s="7">
        <v>0</v>
      </c>
      <c r="K146" s="7">
        <v>46</v>
      </c>
      <c r="L146" s="7">
        <v>0</v>
      </c>
      <c r="M146" s="7">
        <v>0</v>
      </c>
      <c r="N146" s="7">
        <v>0</v>
      </c>
      <c r="O146" s="7">
        <v>2</v>
      </c>
      <c r="P146" s="7">
        <v>0</v>
      </c>
      <c r="Q146" s="7">
        <v>0</v>
      </c>
      <c r="R146" s="1">
        <f t="shared" si="52"/>
        <v>48</v>
      </c>
      <c r="S146" s="7">
        <f t="shared" si="44"/>
        <v>48</v>
      </c>
      <c r="T146" s="10">
        <f t="shared" si="45"/>
        <v>222</v>
      </c>
      <c r="U146" s="8">
        <f t="shared" si="46"/>
        <v>0.17777777777777778</v>
      </c>
      <c r="V146" s="8">
        <f t="shared" si="47"/>
        <v>0.82222222222222219</v>
      </c>
      <c r="W146" s="8">
        <f t="shared" si="48"/>
        <v>0</v>
      </c>
      <c r="X146" s="8">
        <f t="shared" si="49"/>
        <v>0</v>
      </c>
      <c r="Y146" s="8">
        <f t="shared" si="50"/>
        <v>0.17777777777777778</v>
      </c>
    </row>
    <row r="147" spans="1:25">
      <c r="A147" s="1">
        <v>144</v>
      </c>
      <c r="B147" s="22" t="s">
        <v>202</v>
      </c>
      <c r="C147" s="23" t="s">
        <v>204</v>
      </c>
      <c r="D147" s="6">
        <v>44866</v>
      </c>
      <c r="E147" s="20">
        <v>862</v>
      </c>
      <c r="F147" s="20">
        <v>2729</v>
      </c>
      <c r="G147" s="1"/>
      <c r="H147" s="1"/>
      <c r="I147" s="7">
        <f t="shared" si="51"/>
        <v>0</v>
      </c>
      <c r="J147" s="7">
        <v>0</v>
      </c>
      <c r="K147" s="7">
        <v>40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</v>
      </c>
      <c r="R147" s="1">
        <f t="shared" si="52"/>
        <v>41</v>
      </c>
      <c r="S147" s="7">
        <f t="shared" si="44"/>
        <v>41</v>
      </c>
      <c r="T147" s="10">
        <f t="shared" si="45"/>
        <v>821</v>
      </c>
      <c r="U147" s="8">
        <f t="shared" si="46"/>
        <v>4.7563805104408351E-2</v>
      </c>
      <c r="V147" s="8">
        <f t="shared" si="47"/>
        <v>0.95243619489559161</v>
      </c>
      <c r="W147" s="8">
        <f t="shared" si="48"/>
        <v>0</v>
      </c>
      <c r="X147" s="8">
        <f t="shared" si="49"/>
        <v>0</v>
      </c>
      <c r="Y147" s="8">
        <f t="shared" si="50"/>
        <v>4.7563805104408351E-2</v>
      </c>
    </row>
    <row r="148" spans="1:25">
      <c r="A148" s="1"/>
      <c r="B148" s="1"/>
      <c r="C148" s="1"/>
      <c r="D148" s="1"/>
      <c r="E148" s="12">
        <f>SUM(E4:E147)</f>
        <v>96067</v>
      </c>
      <c r="F148" s="12">
        <f>SUM(F4:F147)</f>
        <v>292879</v>
      </c>
      <c r="G148" s="12">
        <f>SUM(G4:G147)</f>
        <v>30406</v>
      </c>
      <c r="H148" s="12">
        <f>SUM(H4:H147)</f>
        <v>7032</v>
      </c>
      <c r="I148" s="12">
        <f>SUM(I4:I147)</f>
        <v>37438</v>
      </c>
      <c r="J148" s="7"/>
      <c r="K148" s="7"/>
      <c r="L148" s="7"/>
      <c r="M148" s="7"/>
      <c r="N148" s="7"/>
      <c r="O148" s="7"/>
      <c r="P148" s="7"/>
      <c r="Q148" s="7"/>
      <c r="R148" s="12">
        <f t="shared" ref="R148:Y148" si="53">SUM(R4:R147)</f>
        <v>23998</v>
      </c>
      <c r="S148" s="12">
        <f t="shared" si="53"/>
        <v>61436</v>
      </c>
      <c r="T148" s="12">
        <f t="shared" si="53"/>
        <v>34631</v>
      </c>
      <c r="U148" s="12">
        <f t="shared" si="53"/>
        <v>90.710991413069465</v>
      </c>
      <c r="V148" s="12">
        <f t="shared" si="53"/>
        <v>53.289008586930514</v>
      </c>
      <c r="W148" s="12">
        <f t="shared" si="53"/>
        <v>25.419685154559502</v>
      </c>
      <c r="X148" s="12">
        <f t="shared" si="53"/>
        <v>42.280059837634951</v>
      </c>
      <c r="Y148" s="12">
        <f t="shared" si="53"/>
        <v>48.430931575434514</v>
      </c>
    </row>
    <row r="149" spans="1:25">
      <c r="G149">
        <v>29849</v>
      </c>
      <c r="I149" s="13">
        <f>S148*4.2</f>
        <v>258031.2</v>
      </c>
    </row>
    <row r="150" spans="1:25">
      <c r="B150" s="27" t="s">
        <v>229</v>
      </c>
      <c r="G150" s="91">
        <f>G148-G149</f>
        <v>557</v>
      </c>
      <c r="I150" s="14">
        <f>I149/F148</f>
        <v>0.88101639243510121</v>
      </c>
    </row>
    <row r="151" spans="1:25">
      <c r="B151" s="28" t="s">
        <v>228</v>
      </c>
    </row>
    <row r="152" spans="1:25">
      <c r="B152" s="29" t="s">
        <v>230</v>
      </c>
    </row>
  </sheetData>
  <autoFilter ref="A3:Y152"/>
  <mergeCells count="13">
    <mergeCell ref="E1:F1"/>
    <mergeCell ref="C1:C2"/>
    <mergeCell ref="B1:B2"/>
    <mergeCell ref="A1:A2"/>
    <mergeCell ref="V1:V2"/>
    <mergeCell ref="W1:W2"/>
    <mergeCell ref="X1:X2"/>
    <mergeCell ref="Y1:Y2"/>
    <mergeCell ref="J1:R1"/>
    <mergeCell ref="G1:I1"/>
    <mergeCell ref="S1:S2"/>
    <mergeCell ref="T1:T2"/>
    <mergeCell ref="U1:U2"/>
  </mergeCells>
  <hyperlinks>
    <hyperlink ref="B151" r:id="rId1"/>
    <hyperlink ref="B152" r:id="rId2"/>
  </hyperlinks>
  <pageMargins left="0.7" right="0.7" top="0.75" bottom="0.75" header="0.3" footer="0.3"/>
  <pageSetup orientation="portrait" horizontalDpi="0" verticalDpi="0" r:id="rId3"/>
  <ignoredErrors>
    <ignoredError sqref="R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2"/>
  <sheetViews>
    <sheetView zoomScale="80" zoomScaleNormal="80" workbookViewId="0">
      <pane ySplit="2715" topLeftCell="A135" activePane="bottomLeft"/>
      <selection activeCell="T5" sqref="T1:T1048576"/>
      <selection pane="bottomLeft" activeCell="S4" sqref="S4:S147"/>
    </sheetView>
  </sheetViews>
  <sheetFormatPr defaultRowHeight="15"/>
  <cols>
    <col min="1" max="1" width="5.42578125" customWidth="1"/>
    <col min="2" max="2" width="20.140625" bestFit="1" customWidth="1"/>
    <col min="3" max="3" width="21.42578125" bestFit="1" customWidth="1"/>
    <col min="4" max="4" width="11.5703125" hidden="1" customWidth="1"/>
    <col min="5" max="6" width="11.5703125" customWidth="1"/>
    <col min="7" max="10" width="9.140625" customWidth="1"/>
    <col min="11" max="17" width="10.7109375" style="4" customWidth="1"/>
    <col min="18" max="18" width="11.42578125" style="4" customWidth="1"/>
    <col min="19" max="20" width="8.85546875" customWidth="1"/>
    <col min="21" max="21" width="10" bestFit="1" customWidth="1"/>
    <col min="23" max="23" width="11.42578125" customWidth="1"/>
    <col min="24" max="25" width="11.85546875" customWidth="1"/>
    <col min="26" max="27" width="12.140625" customWidth="1"/>
  </cols>
  <sheetData>
    <row r="1" spans="1:27">
      <c r="A1" s="120" t="s">
        <v>29</v>
      </c>
      <c r="B1" s="120" t="s">
        <v>18</v>
      </c>
      <c r="C1" s="120" t="s">
        <v>19</v>
      </c>
      <c r="D1" s="1"/>
      <c r="E1" s="121" t="s">
        <v>225</v>
      </c>
      <c r="F1" s="121"/>
      <c r="G1" s="121" t="s">
        <v>216</v>
      </c>
      <c r="H1" s="121"/>
      <c r="I1" s="121"/>
      <c r="J1" s="101"/>
      <c r="K1" s="120" t="s">
        <v>211</v>
      </c>
      <c r="L1" s="120"/>
      <c r="M1" s="120"/>
      <c r="N1" s="120"/>
      <c r="O1" s="120"/>
      <c r="P1" s="120"/>
      <c r="Q1" s="120"/>
      <c r="R1" s="120"/>
      <c r="S1" s="120"/>
      <c r="T1" s="5"/>
      <c r="U1" s="122" t="s">
        <v>217</v>
      </c>
      <c r="V1" s="119" t="s">
        <v>218</v>
      </c>
      <c r="W1" s="123" t="s">
        <v>219</v>
      </c>
      <c r="X1" s="119" t="s">
        <v>220</v>
      </c>
      <c r="Y1" s="119" t="s">
        <v>221</v>
      </c>
      <c r="Z1" s="119" t="s">
        <v>222</v>
      </c>
      <c r="AA1" s="119" t="s">
        <v>223</v>
      </c>
    </row>
    <row r="2" spans="1:27" ht="30">
      <c r="A2" s="120"/>
      <c r="B2" s="120"/>
      <c r="C2" s="120"/>
      <c r="D2" s="5" t="s">
        <v>20</v>
      </c>
      <c r="E2" s="3" t="s">
        <v>210</v>
      </c>
      <c r="F2" s="3" t="s">
        <v>224</v>
      </c>
      <c r="G2" s="3" t="s">
        <v>212</v>
      </c>
      <c r="H2" s="3" t="s">
        <v>213</v>
      </c>
      <c r="I2" s="3" t="s">
        <v>214</v>
      </c>
      <c r="J2" s="3" t="s">
        <v>327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215</v>
      </c>
      <c r="T2" s="3"/>
      <c r="U2" s="122"/>
      <c r="V2" s="119"/>
      <c r="W2" s="123"/>
      <c r="X2" s="119"/>
      <c r="Y2" s="119"/>
      <c r="Z2" s="119"/>
      <c r="AA2" s="119"/>
    </row>
    <row r="3" spans="1:27">
      <c r="A3" s="26">
        <v>1</v>
      </c>
      <c r="B3" s="26">
        <v>2</v>
      </c>
      <c r="C3" s="26">
        <v>3</v>
      </c>
      <c r="D3" s="26">
        <v>4</v>
      </c>
      <c r="E3" s="26">
        <v>4</v>
      </c>
      <c r="F3" s="26">
        <v>5</v>
      </c>
      <c r="G3" s="26">
        <v>15</v>
      </c>
      <c r="H3" s="26">
        <v>16</v>
      </c>
      <c r="I3" s="26">
        <v>17</v>
      </c>
      <c r="J3" s="111"/>
      <c r="K3" s="26">
        <v>6</v>
      </c>
      <c r="L3" s="26">
        <v>7</v>
      </c>
      <c r="M3" s="26">
        <v>8</v>
      </c>
      <c r="N3" s="26">
        <v>9</v>
      </c>
      <c r="O3" s="26">
        <v>10</v>
      </c>
      <c r="P3" s="26">
        <v>11</v>
      </c>
      <c r="Q3" s="26">
        <v>12</v>
      </c>
      <c r="R3" s="26">
        <v>13</v>
      </c>
      <c r="S3" s="26">
        <v>14</v>
      </c>
      <c r="T3" s="26"/>
      <c r="U3" s="26">
        <v>18</v>
      </c>
      <c r="V3" s="26">
        <v>19</v>
      </c>
      <c r="W3" s="26">
        <v>20</v>
      </c>
      <c r="X3" s="26">
        <v>21</v>
      </c>
      <c r="Y3" s="26">
        <v>22</v>
      </c>
      <c r="Z3" s="26">
        <v>23</v>
      </c>
      <c r="AA3" s="26">
        <v>24</v>
      </c>
    </row>
    <row r="4" spans="1:27">
      <c r="A4" s="1">
        <v>1</v>
      </c>
      <c r="B4" s="22" t="s">
        <v>0</v>
      </c>
      <c r="C4" s="23" t="s">
        <v>14</v>
      </c>
      <c r="D4" s="6" t="s">
        <v>15</v>
      </c>
      <c r="E4" s="15">
        <v>316</v>
      </c>
      <c r="F4" s="15">
        <v>848</v>
      </c>
      <c r="G4" s="1"/>
      <c r="H4" s="1"/>
      <c r="I4" s="1">
        <f t="shared" ref="I4:I67" si="0">H4+G4</f>
        <v>0</v>
      </c>
      <c r="J4" s="112">
        <f>I4*4</f>
        <v>0</v>
      </c>
      <c r="K4" s="7">
        <v>3</v>
      </c>
      <c r="L4" s="7">
        <v>0</v>
      </c>
      <c r="M4" s="7">
        <v>0</v>
      </c>
      <c r="N4" s="7">
        <v>0</v>
      </c>
      <c r="O4" s="7">
        <v>2</v>
      </c>
      <c r="P4" s="7">
        <v>2</v>
      </c>
      <c r="Q4" s="7">
        <v>0</v>
      </c>
      <c r="R4" s="7">
        <v>0</v>
      </c>
      <c r="S4" s="1">
        <f t="shared" ref="S4:S17" si="1">SUM(K4:R4)</f>
        <v>7</v>
      </c>
      <c r="T4" s="112">
        <f>S4*4</f>
        <v>28</v>
      </c>
      <c r="U4" s="1">
        <f t="shared" ref="U4:U67" si="2">S4+I4</f>
        <v>7</v>
      </c>
      <c r="V4" s="1">
        <f t="shared" ref="V4:V67" si="3">E4-U4</f>
        <v>309</v>
      </c>
      <c r="W4" s="8">
        <f t="shared" ref="W4:W67" si="4">U4/E4</f>
        <v>2.2151898734177215E-2</v>
      </c>
      <c r="X4" s="8">
        <f t="shared" ref="X4:X67" si="5">V4/E4</f>
        <v>0.97784810126582278</v>
      </c>
      <c r="Y4" s="8">
        <f t="shared" ref="Y4:Y25" si="6">G4/E4</f>
        <v>0</v>
      </c>
      <c r="Z4" s="8">
        <f t="shared" ref="Z4:Z67" si="7">I4/E4</f>
        <v>0</v>
      </c>
      <c r="AA4" s="8">
        <f t="shared" ref="AA4:AA67" si="8">S4/E4</f>
        <v>2.2151898734177215E-2</v>
      </c>
    </row>
    <row r="5" spans="1:27">
      <c r="A5" s="1">
        <v>2</v>
      </c>
      <c r="B5" s="22" t="s">
        <v>0</v>
      </c>
      <c r="C5" s="22" t="s">
        <v>1</v>
      </c>
      <c r="D5" s="6">
        <v>44621</v>
      </c>
      <c r="E5" s="15">
        <v>1051</v>
      </c>
      <c r="F5" s="15">
        <v>3053</v>
      </c>
      <c r="G5" s="110">
        <v>511</v>
      </c>
      <c r="H5" s="1"/>
      <c r="I5" s="1">
        <f t="shared" si="0"/>
        <v>511</v>
      </c>
      <c r="J5" s="112">
        <f t="shared" ref="J5:J68" si="9">I5*4</f>
        <v>2044</v>
      </c>
      <c r="K5" s="7">
        <v>0</v>
      </c>
      <c r="L5" s="7">
        <v>0</v>
      </c>
      <c r="M5" s="7">
        <v>0</v>
      </c>
      <c r="N5" s="7">
        <v>0</v>
      </c>
      <c r="O5" s="95">
        <v>148</v>
      </c>
      <c r="P5" s="7">
        <v>0</v>
      </c>
      <c r="Q5" s="7">
        <v>0</v>
      </c>
      <c r="R5" s="7">
        <v>0</v>
      </c>
      <c r="S5" s="1">
        <f t="shared" si="1"/>
        <v>148</v>
      </c>
      <c r="T5" s="112">
        <f t="shared" ref="T5:T68" si="10">S5*4</f>
        <v>592</v>
      </c>
      <c r="U5" s="1">
        <f t="shared" si="2"/>
        <v>659</v>
      </c>
      <c r="V5" s="1">
        <f t="shared" si="3"/>
        <v>392</v>
      </c>
      <c r="W5" s="8">
        <f t="shared" si="4"/>
        <v>0.62702188392007607</v>
      </c>
      <c r="X5" s="8">
        <f t="shared" si="5"/>
        <v>0.37297811607992387</v>
      </c>
      <c r="Y5" s="8">
        <f t="shared" si="6"/>
        <v>0.48620361560418651</v>
      </c>
      <c r="Z5" s="8">
        <f t="shared" si="7"/>
        <v>0.48620361560418651</v>
      </c>
      <c r="AA5" s="8">
        <f t="shared" si="8"/>
        <v>0.14081826831588962</v>
      </c>
    </row>
    <row r="6" spans="1:27">
      <c r="A6" s="1">
        <v>3</v>
      </c>
      <c r="B6" s="22" t="s">
        <v>0</v>
      </c>
      <c r="C6" s="22" t="s">
        <v>12</v>
      </c>
      <c r="D6" s="6">
        <v>44751</v>
      </c>
      <c r="E6" s="15">
        <v>878</v>
      </c>
      <c r="F6" s="15">
        <v>2440</v>
      </c>
      <c r="G6" s="110">
        <v>343</v>
      </c>
      <c r="H6" s="1"/>
      <c r="I6" s="1">
        <f t="shared" si="0"/>
        <v>343</v>
      </c>
      <c r="J6" s="112">
        <f t="shared" si="9"/>
        <v>1372</v>
      </c>
      <c r="K6" s="7">
        <v>0</v>
      </c>
      <c r="L6" s="7">
        <v>25</v>
      </c>
      <c r="M6" s="7">
        <v>0</v>
      </c>
      <c r="N6" s="7">
        <v>35</v>
      </c>
      <c r="O6" s="95">
        <v>331</v>
      </c>
      <c r="P6" s="7">
        <v>4</v>
      </c>
      <c r="Q6" s="7">
        <v>0</v>
      </c>
      <c r="R6" s="7">
        <v>0</v>
      </c>
      <c r="S6" s="1">
        <f t="shared" si="1"/>
        <v>395</v>
      </c>
      <c r="T6" s="112">
        <f t="shared" si="10"/>
        <v>1580</v>
      </c>
      <c r="U6" s="1">
        <f t="shared" si="2"/>
        <v>738</v>
      </c>
      <c r="V6" s="1">
        <f t="shared" si="3"/>
        <v>140</v>
      </c>
      <c r="W6" s="8">
        <f t="shared" si="4"/>
        <v>0.84054669703872442</v>
      </c>
      <c r="X6" s="8">
        <f t="shared" si="5"/>
        <v>0.15945330296127563</v>
      </c>
      <c r="Y6" s="8">
        <f t="shared" si="6"/>
        <v>0.39066059225512528</v>
      </c>
      <c r="Z6" s="8">
        <f t="shared" si="7"/>
        <v>0.39066059225512528</v>
      </c>
      <c r="AA6" s="8">
        <f t="shared" si="8"/>
        <v>0.44988610478359908</v>
      </c>
    </row>
    <row r="7" spans="1:27">
      <c r="A7" s="1">
        <v>4</v>
      </c>
      <c r="B7" s="22" t="s">
        <v>0</v>
      </c>
      <c r="C7" s="23" t="s">
        <v>10</v>
      </c>
      <c r="D7" s="6">
        <v>44866</v>
      </c>
      <c r="E7" s="15">
        <v>179</v>
      </c>
      <c r="F7" s="15">
        <v>501</v>
      </c>
      <c r="G7" s="1"/>
      <c r="H7" s="1"/>
      <c r="I7" s="1">
        <f t="shared" si="0"/>
        <v>0</v>
      </c>
      <c r="J7" s="112">
        <f t="shared" si="9"/>
        <v>0</v>
      </c>
      <c r="K7" s="7">
        <v>0</v>
      </c>
      <c r="L7" s="7">
        <v>20</v>
      </c>
      <c r="M7" s="7">
        <v>1</v>
      </c>
      <c r="N7" s="7">
        <v>0</v>
      </c>
      <c r="O7" s="95">
        <v>55</v>
      </c>
      <c r="P7" s="7">
        <v>1</v>
      </c>
      <c r="Q7" s="7">
        <v>0</v>
      </c>
      <c r="R7" s="7">
        <v>1</v>
      </c>
      <c r="S7" s="1">
        <f t="shared" si="1"/>
        <v>78</v>
      </c>
      <c r="T7" s="112">
        <f t="shared" si="10"/>
        <v>312</v>
      </c>
      <c r="U7" s="1">
        <f t="shared" si="2"/>
        <v>78</v>
      </c>
      <c r="V7" s="1">
        <f t="shared" si="3"/>
        <v>101</v>
      </c>
      <c r="W7" s="8">
        <f t="shared" si="4"/>
        <v>0.43575418994413406</v>
      </c>
      <c r="X7" s="8">
        <f t="shared" si="5"/>
        <v>0.56424581005586594</v>
      </c>
      <c r="Y7" s="8">
        <f t="shared" si="6"/>
        <v>0</v>
      </c>
      <c r="Z7" s="8">
        <f t="shared" si="7"/>
        <v>0</v>
      </c>
      <c r="AA7" s="8">
        <f t="shared" si="8"/>
        <v>0.43575418994413406</v>
      </c>
    </row>
    <row r="8" spans="1:27">
      <c r="A8" s="1">
        <v>5</v>
      </c>
      <c r="B8" s="22" t="s">
        <v>0</v>
      </c>
      <c r="C8" s="23" t="s">
        <v>5</v>
      </c>
      <c r="D8" s="6" t="s">
        <v>6</v>
      </c>
      <c r="E8" s="15">
        <v>263</v>
      </c>
      <c r="F8" s="15">
        <v>804</v>
      </c>
      <c r="G8" s="1"/>
      <c r="H8" s="1"/>
      <c r="I8" s="1">
        <f t="shared" si="0"/>
        <v>0</v>
      </c>
      <c r="J8" s="112">
        <f t="shared" si="9"/>
        <v>0</v>
      </c>
      <c r="K8" s="7">
        <v>0</v>
      </c>
      <c r="L8" s="7">
        <v>0</v>
      </c>
      <c r="M8" s="7">
        <v>0</v>
      </c>
      <c r="N8" s="7">
        <v>0</v>
      </c>
      <c r="O8" s="95">
        <v>17</v>
      </c>
      <c r="P8" s="7">
        <v>5</v>
      </c>
      <c r="Q8" s="7">
        <v>0</v>
      </c>
      <c r="R8" s="7">
        <v>0</v>
      </c>
      <c r="S8" s="1">
        <f t="shared" si="1"/>
        <v>22</v>
      </c>
      <c r="T8" s="112">
        <f t="shared" si="10"/>
        <v>88</v>
      </c>
      <c r="U8" s="1">
        <f t="shared" si="2"/>
        <v>22</v>
      </c>
      <c r="V8" s="1">
        <f t="shared" si="3"/>
        <v>241</v>
      </c>
      <c r="W8" s="8">
        <f t="shared" si="4"/>
        <v>8.3650190114068435E-2</v>
      </c>
      <c r="X8" s="8">
        <f t="shared" si="5"/>
        <v>0.91634980988593151</v>
      </c>
      <c r="Y8" s="8">
        <f t="shared" si="6"/>
        <v>0</v>
      </c>
      <c r="Z8" s="8">
        <f t="shared" si="7"/>
        <v>0</v>
      </c>
      <c r="AA8" s="8">
        <f t="shared" si="8"/>
        <v>8.3650190114068435E-2</v>
      </c>
    </row>
    <row r="9" spans="1:27">
      <c r="A9" s="1">
        <v>6</v>
      </c>
      <c r="B9" s="22" t="s">
        <v>0</v>
      </c>
      <c r="C9" s="22" t="s">
        <v>4</v>
      </c>
      <c r="D9" s="6" t="s">
        <v>3</v>
      </c>
      <c r="E9" s="15">
        <v>781</v>
      </c>
      <c r="F9" s="15">
        <v>2301</v>
      </c>
      <c r="G9" s="30">
        <v>16</v>
      </c>
      <c r="H9" s="1"/>
      <c r="I9" s="1">
        <f t="shared" si="0"/>
        <v>16</v>
      </c>
      <c r="J9" s="112">
        <f t="shared" si="9"/>
        <v>64</v>
      </c>
      <c r="K9" s="7">
        <v>6</v>
      </c>
      <c r="L9" s="7">
        <v>50</v>
      </c>
      <c r="M9" s="7">
        <v>16</v>
      </c>
      <c r="N9" s="18">
        <v>500</v>
      </c>
      <c r="O9" s="7">
        <v>94</v>
      </c>
      <c r="P9" s="7">
        <v>5</v>
      </c>
      <c r="Q9" s="7">
        <v>50</v>
      </c>
      <c r="R9" s="7">
        <v>0</v>
      </c>
      <c r="S9" s="1">
        <f t="shared" si="1"/>
        <v>721</v>
      </c>
      <c r="T9" s="112">
        <f t="shared" si="10"/>
        <v>2884</v>
      </c>
      <c r="U9" s="1">
        <f t="shared" si="2"/>
        <v>737</v>
      </c>
      <c r="V9" s="30">
        <f t="shared" si="3"/>
        <v>44</v>
      </c>
      <c r="W9" s="8">
        <f t="shared" si="4"/>
        <v>0.94366197183098588</v>
      </c>
      <c r="X9" s="8">
        <f t="shared" si="5"/>
        <v>5.6338028169014086E-2</v>
      </c>
      <c r="Y9" s="8">
        <f t="shared" si="6"/>
        <v>2.0486555697823303E-2</v>
      </c>
      <c r="Z9" s="8">
        <f t="shared" si="7"/>
        <v>2.0486555697823303E-2</v>
      </c>
      <c r="AA9" s="8">
        <f t="shared" si="8"/>
        <v>0.92317541613316256</v>
      </c>
    </row>
    <row r="10" spans="1:27">
      <c r="A10" s="1">
        <v>7</v>
      </c>
      <c r="B10" s="22" t="s">
        <v>0</v>
      </c>
      <c r="C10" s="23" t="s">
        <v>16</v>
      </c>
      <c r="D10" s="6">
        <v>44866</v>
      </c>
      <c r="E10" s="15">
        <v>232</v>
      </c>
      <c r="F10" s="15">
        <v>690</v>
      </c>
      <c r="G10" s="1"/>
      <c r="H10" s="1"/>
      <c r="I10" s="1">
        <f t="shared" si="0"/>
        <v>0</v>
      </c>
      <c r="J10" s="112">
        <f t="shared" si="9"/>
        <v>0</v>
      </c>
      <c r="K10" s="7">
        <v>1</v>
      </c>
      <c r="L10" s="7">
        <v>15</v>
      </c>
      <c r="M10" s="7">
        <v>0</v>
      </c>
      <c r="N10" s="7">
        <v>0</v>
      </c>
      <c r="O10" s="95">
        <v>8</v>
      </c>
      <c r="P10" s="7">
        <v>8</v>
      </c>
      <c r="Q10" s="7">
        <v>20</v>
      </c>
      <c r="R10" s="7">
        <v>0</v>
      </c>
      <c r="S10" s="1">
        <f t="shared" si="1"/>
        <v>52</v>
      </c>
      <c r="T10" s="112">
        <f t="shared" si="10"/>
        <v>208</v>
      </c>
      <c r="U10" s="1">
        <f t="shared" si="2"/>
        <v>52</v>
      </c>
      <c r="V10" s="1">
        <f t="shared" si="3"/>
        <v>180</v>
      </c>
      <c r="W10" s="8">
        <f t="shared" si="4"/>
        <v>0.22413793103448276</v>
      </c>
      <c r="X10" s="8">
        <f t="shared" si="5"/>
        <v>0.77586206896551724</v>
      </c>
      <c r="Y10" s="8">
        <f t="shared" si="6"/>
        <v>0</v>
      </c>
      <c r="Z10" s="8">
        <f t="shared" si="7"/>
        <v>0</v>
      </c>
      <c r="AA10" s="8">
        <f t="shared" si="8"/>
        <v>0.22413793103448276</v>
      </c>
    </row>
    <row r="11" spans="1:27">
      <c r="A11" s="1">
        <v>8</v>
      </c>
      <c r="B11" s="22" t="s">
        <v>0</v>
      </c>
      <c r="C11" s="23" t="s">
        <v>11</v>
      </c>
      <c r="D11" s="6">
        <v>44896</v>
      </c>
      <c r="E11" s="15">
        <v>980</v>
      </c>
      <c r="F11" s="15">
        <v>2737</v>
      </c>
      <c r="G11" s="1"/>
      <c r="H11" s="1"/>
      <c r="I11" s="1">
        <f t="shared" si="0"/>
        <v>0</v>
      </c>
      <c r="J11" s="112">
        <f t="shared" si="9"/>
        <v>0</v>
      </c>
      <c r="K11" s="7">
        <v>0</v>
      </c>
      <c r="L11" s="7">
        <v>0</v>
      </c>
      <c r="M11" s="7">
        <v>0</v>
      </c>
      <c r="N11" s="7">
        <v>2</v>
      </c>
      <c r="O11" s="95">
        <f>9+33</f>
        <v>42</v>
      </c>
      <c r="P11" s="7">
        <v>1</v>
      </c>
      <c r="Q11" s="7">
        <v>4</v>
      </c>
      <c r="R11" s="7">
        <v>1</v>
      </c>
      <c r="S11" s="1">
        <f t="shared" si="1"/>
        <v>50</v>
      </c>
      <c r="T11" s="112">
        <f t="shared" si="10"/>
        <v>200</v>
      </c>
      <c r="U11" s="1">
        <f t="shared" si="2"/>
        <v>50</v>
      </c>
      <c r="V11" s="1">
        <f t="shared" si="3"/>
        <v>930</v>
      </c>
      <c r="W11" s="8">
        <f t="shared" si="4"/>
        <v>5.1020408163265307E-2</v>
      </c>
      <c r="X11" s="8">
        <f t="shared" si="5"/>
        <v>0.94897959183673475</v>
      </c>
      <c r="Y11" s="8">
        <f t="shared" si="6"/>
        <v>0</v>
      </c>
      <c r="Z11" s="8">
        <f t="shared" si="7"/>
        <v>0</v>
      </c>
      <c r="AA11" s="8">
        <f t="shared" si="8"/>
        <v>5.1020408163265307E-2</v>
      </c>
    </row>
    <row r="12" spans="1:27">
      <c r="A12" s="1">
        <v>9</v>
      </c>
      <c r="B12" s="22" t="s">
        <v>0</v>
      </c>
      <c r="C12" s="23" t="s">
        <v>9</v>
      </c>
      <c r="D12" s="6">
        <v>44621</v>
      </c>
      <c r="E12" s="15">
        <v>485</v>
      </c>
      <c r="F12" s="15">
        <v>1421</v>
      </c>
      <c r="G12" s="1"/>
      <c r="H12" s="1"/>
      <c r="I12" s="1">
        <f t="shared" si="0"/>
        <v>0</v>
      </c>
      <c r="J12" s="112">
        <f t="shared" si="9"/>
        <v>0</v>
      </c>
      <c r="K12" s="7">
        <v>0</v>
      </c>
      <c r="L12" s="7">
        <v>50</v>
      </c>
      <c r="M12" s="7">
        <v>0</v>
      </c>
      <c r="N12" s="7">
        <v>0</v>
      </c>
      <c r="O12" s="95">
        <v>71</v>
      </c>
      <c r="P12" s="7">
        <v>5</v>
      </c>
      <c r="Q12" s="7">
        <v>0</v>
      </c>
      <c r="R12" s="7">
        <v>0</v>
      </c>
      <c r="S12" s="1">
        <f t="shared" si="1"/>
        <v>126</v>
      </c>
      <c r="T12" s="112">
        <f t="shared" si="10"/>
        <v>504</v>
      </c>
      <c r="U12" s="1">
        <f t="shared" si="2"/>
        <v>126</v>
      </c>
      <c r="V12" s="1">
        <f t="shared" si="3"/>
        <v>359</v>
      </c>
      <c r="W12" s="8">
        <f t="shared" si="4"/>
        <v>0.25979381443298971</v>
      </c>
      <c r="X12" s="8">
        <f t="shared" si="5"/>
        <v>0.74020618556701034</v>
      </c>
      <c r="Y12" s="8">
        <f t="shared" si="6"/>
        <v>0</v>
      </c>
      <c r="Z12" s="8">
        <f t="shared" si="7"/>
        <v>0</v>
      </c>
      <c r="AA12" s="8">
        <f t="shared" si="8"/>
        <v>0.25979381443298971</v>
      </c>
    </row>
    <row r="13" spans="1:27">
      <c r="A13" s="1">
        <v>10</v>
      </c>
      <c r="B13" s="22" t="s">
        <v>0</v>
      </c>
      <c r="C13" s="22" t="s">
        <v>13</v>
      </c>
      <c r="D13" s="6">
        <v>44866</v>
      </c>
      <c r="E13" s="15">
        <v>311</v>
      </c>
      <c r="F13" s="15">
        <v>801</v>
      </c>
      <c r="G13" s="1"/>
      <c r="H13" s="30">
        <v>89</v>
      </c>
      <c r="I13" s="1">
        <f t="shared" si="0"/>
        <v>89</v>
      </c>
      <c r="J13" s="112">
        <f t="shared" si="9"/>
        <v>356</v>
      </c>
      <c r="K13" s="7">
        <v>0</v>
      </c>
      <c r="L13" s="7">
        <v>2</v>
      </c>
      <c r="M13" s="7">
        <v>1</v>
      </c>
      <c r="N13" s="7">
        <v>0</v>
      </c>
      <c r="O13" s="7">
        <v>2</v>
      </c>
      <c r="P13" s="7">
        <v>1</v>
      </c>
      <c r="Q13" s="7">
        <v>0</v>
      </c>
      <c r="R13" s="7">
        <v>0</v>
      </c>
      <c r="S13" s="1">
        <f t="shared" si="1"/>
        <v>6</v>
      </c>
      <c r="T13" s="112">
        <f t="shared" si="10"/>
        <v>24</v>
      </c>
      <c r="U13" s="1">
        <f t="shared" si="2"/>
        <v>95</v>
      </c>
      <c r="V13" s="1">
        <f t="shared" si="3"/>
        <v>216</v>
      </c>
      <c r="W13" s="8">
        <f t="shared" si="4"/>
        <v>0.30546623794212219</v>
      </c>
      <c r="X13" s="8">
        <f t="shared" si="5"/>
        <v>0.69453376205787787</v>
      </c>
      <c r="Y13" s="8">
        <f t="shared" si="6"/>
        <v>0</v>
      </c>
      <c r="Z13" s="8">
        <f t="shared" si="7"/>
        <v>0.2861736334405145</v>
      </c>
      <c r="AA13" s="8">
        <f t="shared" si="8"/>
        <v>1.9292604501607719E-2</v>
      </c>
    </row>
    <row r="14" spans="1:27">
      <c r="A14" s="1">
        <v>11</v>
      </c>
      <c r="B14" s="22" t="s">
        <v>0</v>
      </c>
      <c r="C14" s="22" t="s">
        <v>7</v>
      </c>
      <c r="D14" s="6" t="s">
        <v>8</v>
      </c>
      <c r="E14" s="15">
        <v>190</v>
      </c>
      <c r="F14" s="15">
        <v>606</v>
      </c>
      <c r="G14" s="1"/>
      <c r="H14" s="1"/>
      <c r="I14" s="1">
        <f t="shared" si="0"/>
        <v>0</v>
      </c>
      <c r="J14" s="112">
        <f t="shared" si="9"/>
        <v>0</v>
      </c>
      <c r="K14" s="7">
        <v>0</v>
      </c>
      <c r="L14" s="7">
        <v>10</v>
      </c>
      <c r="M14" s="7">
        <v>8</v>
      </c>
      <c r="N14" s="18">
        <v>150</v>
      </c>
      <c r="O14" s="7">
        <v>0</v>
      </c>
      <c r="P14" s="7">
        <v>1</v>
      </c>
      <c r="Q14" s="7">
        <v>1</v>
      </c>
      <c r="R14" s="7">
        <v>0</v>
      </c>
      <c r="S14" s="1">
        <f t="shared" si="1"/>
        <v>170</v>
      </c>
      <c r="T14" s="112">
        <f t="shared" si="10"/>
        <v>680</v>
      </c>
      <c r="U14" s="1">
        <f t="shared" si="2"/>
        <v>170</v>
      </c>
      <c r="V14" s="30">
        <f t="shared" si="3"/>
        <v>20</v>
      </c>
      <c r="W14" s="8">
        <f t="shared" si="4"/>
        <v>0.89473684210526316</v>
      </c>
      <c r="X14" s="8">
        <f t="shared" si="5"/>
        <v>0.10526315789473684</v>
      </c>
      <c r="Y14" s="8">
        <f t="shared" si="6"/>
        <v>0</v>
      </c>
      <c r="Z14" s="8">
        <f t="shared" si="7"/>
        <v>0</v>
      </c>
      <c r="AA14" s="8">
        <f t="shared" si="8"/>
        <v>0.89473684210526316</v>
      </c>
    </row>
    <row r="15" spans="1:27">
      <c r="A15" s="1">
        <v>12</v>
      </c>
      <c r="B15" s="22" t="s">
        <v>0</v>
      </c>
      <c r="C15" s="22" t="s">
        <v>17</v>
      </c>
      <c r="D15" s="6" t="s">
        <v>15</v>
      </c>
      <c r="E15" s="15">
        <v>725</v>
      </c>
      <c r="F15" s="15">
        <v>1378</v>
      </c>
      <c r="G15" s="1"/>
      <c r="H15" s="30">
        <v>18</v>
      </c>
      <c r="I15" s="1">
        <f t="shared" si="0"/>
        <v>18</v>
      </c>
      <c r="J15" s="112">
        <f t="shared" si="9"/>
        <v>72</v>
      </c>
      <c r="K15" s="7">
        <v>0</v>
      </c>
      <c r="L15" s="7">
        <v>78</v>
      </c>
      <c r="M15" s="7">
        <v>553</v>
      </c>
      <c r="N15" s="7">
        <v>13</v>
      </c>
      <c r="O15" s="95">
        <f>14+61-15</f>
        <v>60</v>
      </c>
      <c r="P15" s="7">
        <v>2</v>
      </c>
      <c r="Q15" s="7">
        <v>0</v>
      </c>
      <c r="R15" s="7">
        <v>1</v>
      </c>
      <c r="S15" s="1">
        <f t="shared" si="1"/>
        <v>707</v>
      </c>
      <c r="T15" s="112">
        <f t="shared" si="10"/>
        <v>2828</v>
      </c>
      <c r="U15" s="1">
        <f t="shared" si="2"/>
        <v>725</v>
      </c>
      <c r="V15" s="1">
        <f t="shared" si="3"/>
        <v>0</v>
      </c>
      <c r="W15" s="8">
        <f t="shared" si="4"/>
        <v>1</v>
      </c>
      <c r="X15" s="8">
        <f t="shared" si="5"/>
        <v>0</v>
      </c>
      <c r="Y15" s="8">
        <f t="shared" si="6"/>
        <v>0</v>
      </c>
      <c r="Z15" s="8">
        <f t="shared" si="7"/>
        <v>2.4827586206896551E-2</v>
      </c>
      <c r="AA15" s="8">
        <f t="shared" si="8"/>
        <v>0.97517241379310349</v>
      </c>
    </row>
    <row r="16" spans="1:27">
      <c r="A16" s="1">
        <v>13</v>
      </c>
      <c r="B16" s="22" t="s">
        <v>0</v>
      </c>
      <c r="C16" s="22" t="s">
        <v>2</v>
      </c>
      <c r="D16" s="6" t="s">
        <v>3</v>
      </c>
      <c r="E16" s="15">
        <v>483</v>
      </c>
      <c r="F16" s="15">
        <v>1878</v>
      </c>
      <c r="G16" s="30">
        <v>79</v>
      </c>
      <c r="H16" s="1"/>
      <c r="I16" s="1">
        <f t="shared" si="0"/>
        <v>79</v>
      </c>
      <c r="J16" s="112">
        <f t="shared" si="9"/>
        <v>316</v>
      </c>
      <c r="K16" s="7">
        <v>2</v>
      </c>
      <c r="L16" s="7">
        <v>40</v>
      </c>
      <c r="M16" s="7">
        <v>0</v>
      </c>
      <c r="N16" s="7">
        <v>315</v>
      </c>
      <c r="O16" s="95">
        <v>12</v>
      </c>
      <c r="P16" s="7">
        <v>11</v>
      </c>
      <c r="Q16" s="7">
        <v>1</v>
      </c>
      <c r="R16" s="7">
        <v>2</v>
      </c>
      <c r="S16" s="1">
        <f t="shared" si="1"/>
        <v>383</v>
      </c>
      <c r="T16" s="112">
        <f t="shared" si="10"/>
        <v>1532</v>
      </c>
      <c r="U16" s="1">
        <f t="shared" si="2"/>
        <v>462</v>
      </c>
      <c r="V16" s="1">
        <f t="shared" si="3"/>
        <v>21</v>
      </c>
      <c r="W16" s="8">
        <f t="shared" si="4"/>
        <v>0.95652173913043481</v>
      </c>
      <c r="X16" s="8">
        <f t="shared" si="5"/>
        <v>4.3478260869565216E-2</v>
      </c>
      <c r="Y16" s="8">
        <f t="shared" si="6"/>
        <v>0.16356107660455488</v>
      </c>
      <c r="Z16" s="8">
        <f t="shared" si="7"/>
        <v>0.16356107660455488</v>
      </c>
      <c r="AA16" s="8">
        <f t="shared" si="8"/>
        <v>0.79296066252587993</v>
      </c>
    </row>
    <row r="17" spans="1:27">
      <c r="A17" s="1">
        <v>14</v>
      </c>
      <c r="B17" s="22" t="s">
        <v>30</v>
      </c>
      <c r="C17" s="23" t="s">
        <v>44</v>
      </c>
      <c r="D17" s="6"/>
      <c r="E17" s="15">
        <v>5750</v>
      </c>
      <c r="F17" s="15">
        <v>16468</v>
      </c>
      <c r="G17" s="110">
        <f>400+150</f>
        <v>550</v>
      </c>
      <c r="H17" s="1"/>
      <c r="I17" s="1">
        <f t="shared" si="0"/>
        <v>550</v>
      </c>
      <c r="J17" s="112">
        <f t="shared" si="9"/>
        <v>2200</v>
      </c>
      <c r="K17" s="7">
        <v>0</v>
      </c>
      <c r="L17" s="7">
        <v>0</v>
      </c>
      <c r="M17" s="7">
        <v>0</v>
      </c>
      <c r="N17" s="7">
        <v>0</v>
      </c>
      <c r="O17" s="95">
        <v>576</v>
      </c>
      <c r="P17" s="7">
        <v>0</v>
      </c>
      <c r="Q17" s="7">
        <v>0</v>
      </c>
      <c r="R17" s="7">
        <v>0</v>
      </c>
      <c r="S17" s="1">
        <f t="shared" si="1"/>
        <v>576</v>
      </c>
      <c r="T17" s="112">
        <f t="shared" si="10"/>
        <v>2304</v>
      </c>
      <c r="U17" s="1">
        <f t="shared" si="2"/>
        <v>1126</v>
      </c>
      <c r="V17" s="1">
        <f t="shared" si="3"/>
        <v>4624</v>
      </c>
      <c r="W17" s="8">
        <f t="shared" si="4"/>
        <v>0.19582608695652173</v>
      </c>
      <c r="X17" s="8">
        <f t="shared" si="5"/>
        <v>0.80417391304347829</v>
      </c>
      <c r="Y17" s="8">
        <f t="shared" si="6"/>
        <v>9.5652173913043481E-2</v>
      </c>
      <c r="Z17" s="8">
        <f t="shared" si="7"/>
        <v>9.5652173913043481E-2</v>
      </c>
      <c r="AA17" s="8">
        <f t="shared" si="8"/>
        <v>0.10017391304347827</v>
      </c>
    </row>
    <row r="18" spans="1:27">
      <c r="A18" s="1">
        <v>15</v>
      </c>
      <c r="B18" s="22" t="s">
        <v>30</v>
      </c>
      <c r="C18" s="23" t="s">
        <v>32</v>
      </c>
      <c r="D18" s="6">
        <v>44866</v>
      </c>
      <c r="E18" s="15">
        <v>540</v>
      </c>
      <c r="F18" s="15">
        <v>1554</v>
      </c>
      <c r="G18" s="1"/>
      <c r="H18" s="1"/>
      <c r="I18" s="1">
        <f t="shared" si="0"/>
        <v>0</v>
      </c>
      <c r="J18" s="112">
        <f t="shared" si="9"/>
        <v>0</v>
      </c>
      <c r="K18" s="7">
        <v>3</v>
      </c>
      <c r="L18" s="7">
        <v>80</v>
      </c>
      <c r="M18" s="7">
        <v>0</v>
      </c>
      <c r="N18" s="7">
        <v>0</v>
      </c>
      <c r="O18" s="7">
        <v>0</v>
      </c>
      <c r="P18" s="7">
        <v>1</v>
      </c>
      <c r="Q18" s="7">
        <v>10</v>
      </c>
      <c r="R18" s="7">
        <v>0</v>
      </c>
      <c r="S18" s="1">
        <f t="shared" ref="S18:S81" si="11">SUM(K18:R18)</f>
        <v>94</v>
      </c>
      <c r="T18" s="112">
        <f t="shared" si="10"/>
        <v>376</v>
      </c>
      <c r="U18" s="1">
        <f t="shared" si="2"/>
        <v>94</v>
      </c>
      <c r="V18" s="1">
        <f t="shared" si="3"/>
        <v>446</v>
      </c>
      <c r="W18" s="8">
        <f t="shared" si="4"/>
        <v>0.17407407407407408</v>
      </c>
      <c r="X18" s="8">
        <f t="shared" si="5"/>
        <v>0.82592592592592595</v>
      </c>
      <c r="Y18" s="8">
        <f t="shared" si="6"/>
        <v>0</v>
      </c>
      <c r="Z18" s="8">
        <f t="shared" si="7"/>
        <v>0</v>
      </c>
      <c r="AA18" s="8">
        <f t="shared" si="8"/>
        <v>0.17407407407407408</v>
      </c>
    </row>
    <row r="19" spans="1:27">
      <c r="A19" s="1">
        <v>16</v>
      </c>
      <c r="B19" s="22" t="s">
        <v>30</v>
      </c>
      <c r="C19" s="23" t="s">
        <v>36</v>
      </c>
      <c r="D19" s="6">
        <v>44565</v>
      </c>
      <c r="E19" s="15">
        <v>274</v>
      </c>
      <c r="F19" s="15">
        <v>835</v>
      </c>
      <c r="G19" s="1"/>
      <c r="H19" s="1"/>
      <c r="I19" s="1">
        <f t="shared" si="0"/>
        <v>0</v>
      </c>
      <c r="J19" s="112">
        <f t="shared" si="9"/>
        <v>0</v>
      </c>
      <c r="K19" s="7">
        <v>7</v>
      </c>
      <c r="L19" s="7">
        <v>3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1">
        <f t="shared" si="11"/>
        <v>10</v>
      </c>
      <c r="T19" s="112">
        <f t="shared" si="10"/>
        <v>40</v>
      </c>
      <c r="U19" s="1">
        <f t="shared" si="2"/>
        <v>10</v>
      </c>
      <c r="V19" s="1">
        <f t="shared" si="3"/>
        <v>264</v>
      </c>
      <c r="W19" s="8">
        <f t="shared" si="4"/>
        <v>3.6496350364963501E-2</v>
      </c>
      <c r="X19" s="8">
        <f t="shared" si="5"/>
        <v>0.96350364963503654</v>
      </c>
      <c r="Y19" s="8">
        <f t="shared" si="6"/>
        <v>0</v>
      </c>
      <c r="Z19" s="8">
        <f t="shared" si="7"/>
        <v>0</v>
      </c>
      <c r="AA19" s="8">
        <f t="shared" si="8"/>
        <v>3.6496350364963501E-2</v>
      </c>
    </row>
    <row r="20" spans="1:27">
      <c r="A20" s="1">
        <v>17</v>
      </c>
      <c r="B20" s="22" t="s">
        <v>30</v>
      </c>
      <c r="C20" s="23" t="s">
        <v>33</v>
      </c>
      <c r="D20" s="6">
        <v>44866</v>
      </c>
      <c r="E20" s="15">
        <v>411</v>
      </c>
      <c r="F20" s="15">
        <v>1316</v>
      </c>
      <c r="G20" s="1"/>
      <c r="H20" s="1"/>
      <c r="I20" s="1">
        <f t="shared" si="0"/>
        <v>0</v>
      </c>
      <c r="J20" s="112">
        <f t="shared" si="9"/>
        <v>0</v>
      </c>
      <c r="K20" s="7">
        <v>3</v>
      </c>
      <c r="L20" s="7">
        <v>202</v>
      </c>
      <c r="M20" s="7">
        <v>0</v>
      </c>
      <c r="N20" s="7">
        <v>0</v>
      </c>
      <c r="O20" s="7">
        <v>0</v>
      </c>
      <c r="P20" s="7">
        <v>0</v>
      </c>
      <c r="Q20" s="7">
        <v>8</v>
      </c>
      <c r="R20" s="7">
        <v>0</v>
      </c>
      <c r="S20" s="1">
        <f t="shared" si="11"/>
        <v>213</v>
      </c>
      <c r="T20" s="112">
        <f t="shared" si="10"/>
        <v>852</v>
      </c>
      <c r="U20" s="1">
        <f t="shared" si="2"/>
        <v>213</v>
      </c>
      <c r="V20" s="1">
        <f t="shared" si="3"/>
        <v>198</v>
      </c>
      <c r="W20" s="8">
        <f t="shared" si="4"/>
        <v>0.51824817518248179</v>
      </c>
      <c r="X20" s="8">
        <f t="shared" si="5"/>
        <v>0.48175182481751827</v>
      </c>
      <c r="Y20" s="8">
        <f t="shared" si="6"/>
        <v>0</v>
      </c>
      <c r="Z20" s="8">
        <f t="shared" si="7"/>
        <v>0</v>
      </c>
      <c r="AA20" s="8">
        <f t="shared" si="8"/>
        <v>0.51824817518248179</v>
      </c>
    </row>
    <row r="21" spans="1:27">
      <c r="A21" s="1">
        <v>18</v>
      </c>
      <c r="B21" s="22" t="s">
        <v>30</v>
      </c>
      <c r="C21" s="23" t="s">
        <v>37</v>
      </c>
      <c r="D21" s="6" t="s">
        <v>38</v>
      </c>
      <c r="E21" s="15">
        <v>42</v>
      </c>
      <c r="F21" s="15">
        <v>130</v>
      </c>
      <c r="G21" s="1"/>
      <c r="H21" s="1"/>
      <c r="I21" s="1">
        <f t="shared" si="0"/>
        <v>0</v>
      </c>
      <c r="J21" s="112">
        <f t="shared" si="9"/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1">
        <f t="shared" si="11"/>
        <v>1</v>
      </c>
      <c r="T21" s="112">
        <f t="shared" si="10"/>
        <v>4</v>
      </c>
      <c r="U21" s="1">
        <f t="shared" si="2"/>
        <v>1</v>
      </c>
      <c r="V21" s="1">
        <f t="shared" si="3"/>
        <v>41</v>
      </c>
      <c r="W21" s="8">
        <f t="shared" si="4"/>
        <v>2.3809523809523808E-2</v>
      </c>
      <c r="X21" s="8">
        <f t="shared" si="5"/>
        <v>0.97619047619047616</v>
      </c>
      <c r="Y21" s="8">
        <f t="shared" si="6"/>
        <v>0</v>
      </c>
      <c r="Z21" s="8">
        <f t="shared" si="7"/>
        <v>0</v>
      </c>
      <c r="AA21" s="8">
        <f t="shared" si="8"/>
        <v>2.3809523809523808E-2</v>
      </c>
    </row>
    <row r="22" spans="1:27">
      <c r="A22" s="1">
        <v>19</v>
      </c>
      <c r="B22" s="22" t="s">
        <v>30</v>
      </c>
      <c r="C22" s="23" t="s">
        <v>39</v>
      </c>
      <c r="D22" s="6" t="s">
        <v>40</v>
      </c>
      <c r="E22" s="15">
        <v>77</v>
      </c>
      <c r="F22" s="15">
        <v>206</v>
      </c>
      <c r="G22" s="1"/>
      <c r="H22" s="1"/>
      <c r="I22" s="1">
        <f t="shared" si="0"/>
        <v>0</v>
      </c>
      <c r="J22" s="112">
        <f t="shared" si="9"/>
        <v>0</v>
      </c>
      <c r="K22" s="7">
        <v>0</v>
      </c>
      <c r="L22" s="7">
        <v>0</v>
      </c>
      <c r="M22" s="7">
        <v>0</v>
      </c>
      <c r="N22" s="7">
        <v>0</v>
      </c>
      <c r="O22" s="7">
        <v>11</v>
      </c>
      <c r="P22" s="7">
        <v>0</v>
      </c>
      <c r="Q22" s="7">
        <v>2</v>
      </c>
      <c r="R22" s="7">
        <v>2</v>
      </c>
      <c r="S22" s="1">
        <f t="shared" si="11"/>
        <v>15</v>
      </c>
      <c r="T22" s="112">
        <f t="shared" si="10"/>
        <v>60</v>
      </c>
      <c r="U22" s="1">
        <f t="shared" si="2"/>
        <v>15</v>
      </c>
      <c r="V22" s="1">
        <f t="shared" si="3"/>
        <v>62</v>
      </c>
      <c r="W22" s="8">
        <f t="shared" si="4"/>
        <v>0.19480519480519481</v>
      </c>
      <c r="X22" s="8">
        <f t="shared" si="5"/>
        <v>0.80519480519480524</v>
      </c>
      <c r="Y22" s="8">
        <f t="shared" si="6"/>
        <v>0</v>
      </c>
      <c r="Z22" s="8">
        <f t="shared" si="7"/>
        <v>0</v>
      </c>
      <c r="AA22" s="8">
        <f t="shared" si="8"/>
        <v>0.19480519480519481</v>
      </c>
    </row>
    <row r="23" spans="1:27">
      <c r="A23" s="1">
        <v>20</v>
      </c>
      <c r="B23" s="22" t="s">
        <v>30</v>
      </c>
      <c r="C23" s="23" t="s">
        <v>31</v>
      </c>
      <c r="D23" s="6">
        <v>44718</v>
      </c>
      <c r="E23" s="15">
        <v>304</v>
      </c>
      <c r="F23" s="15">
        <v>915</v>
      </c>
      <c r="G23" s="1"/>
      <c r="H23" s="1"/>
      <c r="I23" s="1">
        <f t="shared" si="0"/>
        <v>0</v>
      </c>
      <c r="J23" s="112">
        <f t="shared" si="9"/>
        <v>0</v>
      </c>
      <c r="K23" s="7">
        <v>6</v>
      </c>
      <c r="L23" s="7">
        <v>0</v>
      </c>
      <c r="M23" s="7">
        <v>0</v>
      </c>
      <c r="N23" s="7">
        <v>0</v>
      </c>
      <c r="O23" s="95">
        <v>55</v>
      </c>
      <c r="P23" s="7">
        <v>0</v>
      </c>
      <c r="Q23" s="7">
        <v>1</v>
      </c>
      <c r="R23" s="7">
        <v>1</v>
      </c>
      <c r="S23" s="1">
        <f t="shared" si="11"/>
        <v>63</v>
      </c>
      <c r="T23" s="112">
        <f t="shared" si="10"/>
        <v>252</v>
      </c>
      <c r="U23" s="1">
        <f t="shared" si="2"/>
        <v>63</v>
      </c>
      <c r="V23" s="1">
        <f t="shared" si="3"/>
        <v>241</v>
      </c>
      <c r="W23" s="8">
        <f t="shared" si="4"/>
        <v>0.20723684210526316</v>
      </c>
      <c r="X23" s="8">
        <f t="shared" si="5"/>
        <v>0.79276315789473684</v>
      </c>
      <c r="Y23" s="8">
        <f t="shared" si="6"/>
        <v>0</v>
      </c>
      <c r="Z23" s="8">
        <f t="shared" si="7"/>
        <v>0</v>
      </c>
      <c r="AA23" s="8">
        <f t="shared" si="8"/>
        <v>0.20723684210526316</v>
      </c>
    </row>
    <row r="24" spans="1:27">
      <c r="A24" s="1">
        <v>21</v>
      </c>
      <c r="B24" s="22" t="s">
        <v>30</v>
      </c>
      <c r="C24" s="23" t="s">
        <v>41</v>
      </c>
      <c r="D24" s="6" t="s">
        <v>42</v>
      </c>
      <c r="E24" s="15">
        <v>1046</v>
      </c>
      <c r="F24" s="15">
        <v>3241</v>
      </c>
      <c r="G24" s="1"/>
      <c r="H24" s="1"/>
      <c r="I24" s="1">
        <f t="shared" si="0"/>
        <v>0</v>
      </c>
      <c r="J24" s="112">
        <f t="shared" si="9"/>
        <v>0</v>
      </c>
      <c r="K24" s="7">
        <v>13</v>
      </c>
      <c r="L24" s="7">
        <v>354</v>
      </c>
      <c r="M24" s="7">
        <v>0</v>
      </c>
      <c r="N24" s="7">
        <v>0</v>
      </c>
      <c r="O24" s="95">
        <f>2+175+176</f>
        <v>353</v>
      </c>
      <c r="P24" s="7">
        <v>0</v>
      </c>
      <c r="Q24" s="7">
        <v>0</v>
      </c>
      <c r="R24" s="7">
        <v>0</v>
      </c>
      <c r="S24" s="1">
        <f t="shared" si="11"/>
        <v>720</v>
      </c>
      <c r="T24" s="112">
        <f t="shared" si="10"/>
        <v>2880</v>
      </c>
      <c r="U24" s="1">
        <f t="shared" si="2"/>
        <v>720</v>
      </c>
      <c r="V24" s="1">
        <f t="shared" si="3"/>
        <v>326</v>
      </c>
      <c r="W24" s="8">
        <f t="shared" si="4"/>
        <v>0.68833652007648183</v>
      </c>
      <c r="X24" s="8">
        <f t="shared" si="5"/>
        <v>0.31166347992351817</v>
      </c>
      <c r="Y24" s="8">
        <f t="shared" si="6"/>
        <v>0</v>
      </c>
      <c r="Z24" s="8">
        <f t="shared" si="7"/>
        <v>0</v>
      </c>
      <c r="AA24" s="8">
        <f t="shared" si="8"/>
        <v>0.68833652007648183</v>
      </c>
    </row>
    <row r="25" spans="1:27">
      <c r="A25" s="1">
        <v>22</v>
      </c>
      <c r="B25" s="22" t="s">
        <v>30</v>
      </c>
      <c r="C25" s="23" t="s">
        <v>34</v>
      </c>
      <c r="D25" s="6" t="s">
        <v>35</v>
      </c>
      <c r="E25" s="15">
        <v>821</v>
      </c>
      <c r="F25" s="15">
        <v>2379</v>
      </c>
      <c r="G25" s="1"/>
      <c r="H25" s="1"/>
      <c r="I25" s="1">
        <f t="shared" si="0"/>
        <v>0</v>
      </c>
      <c r="J25" s="112">
        <f t="shared" si="9"/>
        <v>0</v>
      </c>
      <c r="K25" s="7">
        <v>0</v>
      </c>
      <c r="L25" s="7">
        <v>465</v>
      </c>
      <c r="M25" s="7">
        <v>0</v>
      </c>
      <c r="N25" s="7">
        <v>0</v>
      </c>
      <c r="O25" s="95">
        <v>94</v>
      </c>
      <c r="P25" s="7">
        <v>0</v>
      </c>
      <c r="Q25" s="7">
        <v>0</v>
      </c>
      <c r="R25" s="7">
        <v>3</v>
      </c>
      <c r="S25" s="1">
        <f t="shared" si="11"/>
        <v>562</v>
      </c>
      <c r="T25" s="112">
        <f t="shared" si="10"/>
        <v>2248</v>
      </c>
      <c r="U25" s="1">
        <f t="shared" si="2"/>
        <v>562</v>
      </c>
      <c r="V25" s="1">
        <f t="shared" si="3"/>
        <v>259</v>
      </c>
      <c r="W25" s="8">
        <f t="shared" si="4"/>
        <v>0.68453105968331307</v>
      </c>
      <c r="X25" s="8">
        <f t="shared" si="5"/>
        <v>0.31546894031668699</v>
      </c>
      <c r="Y25" s="8">
        <f t="shared" si="6"/>
        <v>0</v>
      </c>
      <c r="Z25" s="8">
        <f t="shared" si="7"/>
        <v>0</v>
      </c>
      <c r="AA25" s="8">
        <f t="shared" si="8"/>
        <v>0.68453105968331307</v>
      </c>
    </row>
    <row r="26" spans="1:27">
      <c r="A26" s="1">
        <v>23</v>
      </c>
      <c r="B26" s="22" t="s">
        <v>45</v>
      </c>
      <c r="C26" s="22" t="s">
        <v>56</v>
      </c>
      <c r="D26" s="6" t="s">
        <v>57</v>
      </c>
      <c r="E26" s="15">
        <v>535</v>
      </c>
      <c r="F26" s="15">
        <v>1640</v>
      </c>
      <c r="G26" s="1"/>
      <c r="H26" s="30">
        <v>40</v>
      </c>
      <c r="I26" s="7">
        <f t="shared" si="0"/>
        <v>40</v>
      </c>
      <c r="J26" s="112">
        <f t="shared" si="9"/>
        <v>160</v>
      </c>
      <c r="K26" s="7">
        <v>0</v>
      </c>
      <c r="L26" s="7">
        <v>0</v>
      </c>
      <c r="M26" s="7">
        <v>0</v>
      </c>
      <c r="N26" s="17">
        <v>495</v>
      </c>
      <c r="O26" s="7">
        <v>0</v>
      </c>
      <c r="P26" s="7">
        <v>0</v>
      </c>
      <c r="Q26" s="7">
        <v>0</v>
      </c>
      <c r="R26" s="7">
        <v>0</v>
      </c>
      <c r="S26" s="1">
        <f t="shared" si="11"/>
        <v>495</v>
      </c>
      <c r="T26" s="112">
        <f t="shared" si="10"/>
        <v>1980</v>
      </c>
      <c r="U26" s="7">
        <f t="shared" si="2"/>
        <v>535</v>
      </c>
      <c r="V26" s="31">
        <f t="shared" si="3"/>
        <v>0</v>
      </c>
      <c r="W26" s="8">
        <f t="shared" si="4"/>
        <v>1</v>
      </c>
      <c r="X26" s="8">
        <f t="shared" si="5"/>
        <v>0</v>
      </c>
      <c r="Y26" s="8">
        <v>1.0344827586206896E-2</v>
      </c>
      <c r="Z26" s="8">
        <f t="shared" si="7"/>
        <v>7.476635514018691E-2</v>
      </c>
      <c r="AA26" s="8">
        <f t="shared" si="8"/>
        <v>0.92523364485981308</v>
      </c>
    </row>
    <row r="27" spans="1:27">
      <c r="A27" s="1">
        <v>24</v>
      </c>
      <c r="B27" s="22" t="s">
        <v>45</v>
      </c>
      <c r="C27" s="22" t="s">
        <v>60</v>
      </c>
      <c r="D27" s="6" t="s">
        <v>61</v>
      </c>
      <c r="E27" s="15">
        <v>1101</v>
      </c>
      <c r="F27" s="15">
        <v>3286</v>
      </c>
      <c r="G27" s="110">
        <v>651</v>
      </c>
      <c r="H27" s="1"/>
      <c r="I27" s="7">
        <f t="shared" si="0"/>
        <v>651</v>
      </c>
      <c r="J27" s="112">
        <f t="shared" si="9"/>
        <v>2604</v>
      </c>
      <c r="K27" s="7">
        <v>0</v>
      </c>
      <c r="L27" s="7">
        <v>300</v>
      </c>
      <c r="M27" s="7">
        <v>0</v>
      </c>
      <c r="N27" s="7">
        <v>0</v>
      </c>
      <c r="O27" s="7">
        <v>0</v>
      </c>
      <c r="P27" s="7">
        <v>12</v>
      </c>
      <c r="Q27" s="7">
        <v>0</v>
      </c>
      <c r="R27" s="7">
        <v>0</v>
      </c>
      <c r="S27" s="1">
        <f t="shared" si="11"/>
        <v>312</v>
      </c>
      <c r="T27" s="112">
        <f t="shared" si="10"/>
        <v>1248</v>
      </c>
      <c r="U27" s="7">
        <f t="shared" si="2"/>
        <v>963</v>
      </c>
      <c r="V27" s="10">
        <f t="shared" si="3"/>
        <v>138</v>
      </c>
      <c r="W27" s="8">
        <f t="shared" si="4"/>
        <v>0.87465940054495916</v>
      </c>
      <c r="X27" s="8">
        <f t="shared" si="5"/>
        <v>0.12534059945504086</v>
      </c>
      <c r="Y27" s="8">
        <v>0.74784482758620685</v>
      </c>
      <c r="Z27" s="8">
        <f t="shared" si="7"/>
        <v>0.59128065395095364</v>
      </c>
      <c r="AA27" s="8">
        <f t="shared" si="8"/>
        <v>0.28337874659400547</v>
      </c>
    </row>
    <row r="28" spans="1:27">
      <c r="A28" s="1">
        <v>25</v>
      </c>
      <c r="B28" s="22" t="s">
        <v>45</v>
      </c>
      <c r="C28" s="22" t="s">
        <v>58</v>
      </c>
      <c r="D28" s="6">
        <v>44653</v>
      </c>
      <c r="E28" s="15">
        <v>494</v>
      </c>
      <c r="F28" s="15">
        <v>1497</v>
      </c>
      <c r="G28" s="1"/>
      <c r="H28" s="1"/>
      <c r="I28" s="7">
        <f t="shared" si="0"/>
        <v>0</v>
      </c>
      <c r="J28" s="112">
        <f t="shared" si="9"/>
        <v>0</v>
      </c>
      <c r="K28" s="7">
        <v>25</v>
      </c>
      <c r="L28" s="18">
        <v>250</v>
      </c>
      <c r="M28" s="7">
        <v>0</v>
      </c>
      <c r="N28" s="18">
        <v>200</v>
      </c>
      <c r="O28" s="7">
        <v>2</v>
      </c>
      <c r="P28" s="7">
        <v>0</v>
      </c>
      <c r="Q28" s="7">
        <v>0</v>
      </c>
      <c r="R28" s="7">
        <v>0</v>
      </c>
      <c r="S28" s="1">
        <f t="shared" si="11"/>
        <v>477</v>
      </c>
      <c r="T28" s="112">
        <f t="shared" si="10"/>
        <v>1908</v>
      </c>
      <c r="U28" s="7">
        <f t="shared" si="2"/>
        <v>477</v>
      </c>
      <c r="V28" s="31">
        <f t="shared" si="3"/>
        <v>17</v>
      </c>
      <c r="W28" s="8">
        <f t="shared" si="4"/>
        <v>0.96558704453441291</v>
      </c>
      <c r="X28" s="8">
        <f t="shared" si="5"/>
        <v>3.4412955465587043E-2</v>
      </c>
      <c r="Y28" s="8">
        <v>0.78025477707006374</v>
      </c>
      <c r="Z28" s="8">
        <f t="shared" si="7"/>
        <v>0</v>
      </c>
      <c r="AA28" s="8">
        <f t="shared" si="8"/>
        <v>0.96558704453441291</v>
      </c>
    </row>
    <row r="29" spans="1:27">
      <c r="A29" s="1">
        <v>26</v>
      </c>
      <c r="B29" s="22" t="s">
        <v>45</v>
      </c>
      <c r="C29" s="22" t="s">
        <v>53</v>
      </c>
      <c r="D29" s="6">
        <v>44896</v>
      </c>
      <c r="E29" s="15">
        <v>713</v>
      </c>
      <c r="F29" s="15">
        <v>2199</v>
      </c>
      <c r="G29" s="1"/>
      <c r="H29" s="30">
        <v>351</v>
      </c>
      <c r="I29" s="7">
        <f t="shared" si="0"/>
        <v>351</v>
      </c>
      <c r="J29" s="112">
        <f t="shared" si="9"/>
        <v>1404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5</v>
      </c>
      <c r="Q29" s="7">
        <v>0</v>
      </c>
      <c r="R29" s="7">
        <v>0</v>
      </c>
      <c r="S29" s="1">
        <f t="shared" si="11"/>
        <v>5</v>
      </c>
      <c r="T29" s="112">
        <f t="shared" si="10"/>
        <v>20</v>
      </c>
      <c r="U29" s="7">
        <f t="shared" si="2"/>
        <v>356</v>
      </c>
      <c r="V29" s="10">
        <f t="shared" si="3"/>
        <v>357</v>
      </c>
      <c r="W29" s="8">
        <f t="shared" si="4"/>
        <v>0.49929873772791022</v>
      </c>
      <c r="X29" s="8">
        <f t="shared" si="5"/>
        <v>0.50070126227208978</v>
      </c>
      <c r="Y29" s="8">
        <v>0.57006252298639204</v>
      </c>
      <c r="Z29" s="8">
        <f t="shared" si="7"/>
        <v>0.49228611500701264</v>
      </c>
      <c r="AA29" s="8">
        <f t="shared" si="8"/>
        <v>7.0126227208976155E-3</v>
      </c>
    </row>
    <row r="30" spans="1:27">
      <c r="A30" s="1">
        <v>27</v>
      </c>
      <c r="B30" s="22" t="s">
        <v>45</v>
      </c>
      <c r="C30" s="22" t="s">
        <v>59</v>
      </c>
      <c r="D30" s="6">
        <v>44621</v>
      </c>
      <c r="E30" s="15">
        <v>415</v>
      </c>
      <c r="F30" s="15">
        <v>1294</v>
      </c>
      <c r="G30" s="110">
        <v>327</v>
      </c>
      <c r="H30" s="1"/>
      <c r="I30" s="7">
        <f t="shared" si="0"/>
        <v>327</v>
      </c>
      <c r="J30" s="112">
        <f t="shared" si="9"/>
        <v>1308</v>
      </c>
      <c r="K30" s="7">
        <v>0</v>
      </c>
      <c r="L30" s="7">
        <v>15</v>
      </c>
      <c r="M30" s="7">
        <v>0</v>
      </c>
      <c r="N30" s="7">
        <v>0</v>
      </c>
      <c r="O30" s="95">
        <v>65</v>
      </c>
      <c r="P30" s="7">
        <v>5</v>
      </c>
      <c r="Q30" s="7">
        <v>0</v>
      </c>
      <c r="R30" s="7">
        <v>0</v>
      </c>
      <c r="S30" s="1">
        <f t="shared" si="11"/>
        <v>85</v>
      </c>
      <c r="T30" s="112">
        <f t="shared" si="10"/>
        <v>340</v>
      </c>
      <c r="U30" s="7">
        <f t="shared" si="2"/>
        <v>412</v>
      </c>
      <c r="V30" s="10">
        <f t="shared" si="3"/>
        <v>3</v>
      </c>
      <c r="W30" s="8">
        <f t="shared" si="4"/>
        <v>0.9927710843373494</v>
      </c>
      <c r="X30" s="8">
        <f t="shared" si="5"/>
        <v>7.2289156626506026E-3</v>
      </c>
      <c r="Y30" s="8">
        <v>5.46875E-2</v>
      </c>
      <c r="Z30" s="8">
        <f t="shared" si="7"/>
        <v>0.78795180722891567</v>
      </c>
      <c r="AA30" s="8">
        <f t="shared" si="8"/>
        <v>0.20481927710843373</v>
      </c>
    </row>
    <row r="31" spans="1:27">
      <c r="A31" s="1">
        <v>28</v>
      </c>
      <c r="B31" s="22" t="s">
        <v>45</v>
      </c>
      <c r="C31" s="22" t="s">
        <v>45</v>
      </c>
      <c r="D31" s="6" t="s">
        <v>47</v>
      </c>
      <c r="E31" s="15">
        <v>1962</v>
      </c>
      <c r="F31" s="15">
        <v>6093</v>
      </c>
      <c r="G31" s="110">
        <v>1333</v>
      </c>
      <c r="H31" s="1"/>
      <c r="I31" s="7">
        <f t="shared" si="0"/>
        <v>1333</v>
      </c>
      <c r="J31" s="112">
        <f t="shared" si="9"/>
        <v>5332</v>
      </c>
      <c r="K31" s="7">
        <v>0</v>
      </c>
      <c r="L31" s="7">
        <v>44</v>
      </c>
      <c r="M31" s="7">
        <v>5</v>
      </c>
      <c r="N31" s="7">
        <v>0</v>
      </c>
      <c r="O31" s="7">
        <v>1</v>
      </c>
      <c r="P31" s="7">
        <v>1</v>
      </c>
      <c r="Q31" s="7">
        <v>43</v>
      </c>
      <c r="R31" s="7">
        <v>1</v>
      </c>
      <c r="S31" s="1">
        <f t="shared" si="11"/>
        <v>95</v>
      </c>
      <c r="T31" s="112">
        <f t="shared" si="10"/>
        <v>380</v>
      </c>
      <c r="U31" s="7">
        <f t="shared" si="2"/>
        <v>1428</v>
      </c>
      <c r="V31" s="10">
        <f t="shared" si="3"/>
        <v>534</v>
      </c>
      <c r="W31" s="8">
        <f t="shared" si="4"/>
        <v>0.72782874617737003</v>
      </c>
      <c r="X31" s="8">
        <f t="shared" si="5"/>
        <v>0.27217125382262997</v>
      </c>
      <c r="Y31" s="8">
        <v>0.48828125</v>
      </c>
      <c r="Z31" s="8">
        <f t="shared" si="7"/>
        <v>0.67940876656472982</v>
      </c>
      <c r="AA31" s="8">
        <f t="shared" si="8"/>
        <v>4.8419979612640163E-2</v>
      </c>
    </row>
    <row r="32" spans="1:27">
      <c r="A32" s="1">
        <v>29</v>
      </c>
      <c r="B32" s="22" t="s">
        <v>45</v>
      </c>
      <c r="C32" s="22" t="s">
        <v>46</v>
      </c>
      <c r="D32" s="6">
        <v>44899</v>
      </c>
      <c r="E32" s="15">
        <v>447</v>
      </c>
      <c r="F32" s="15">
        <v>1378</v>
      </c>
      <c r="G32" s="110">
        <v>149</v>
      </c>
      <c r="H32" s="1"/>
      <c r="I32" s="7">
        <f t="shared" si="0"/>
        <v>149</v>
      </c>
      <c r="J32" s="112">
        <f t="shared" si="9"/>
        <v>596</v>
      </c>
      <c r="K32" s="7">
        <v>0</v>
      </c>
      <c r="L32" s="7">
        <v>99</v>
      </c>
      <c r="M32" s="7">
        <v>0</v>
      </c>
      <c r="N32" s="7">
        <v>18</v>
      </c>
      <c r="O32" s="7">
        <v>0</v>
      </c>
      <c r="P32" s="7">
        <v>5</v>
      </c>
      <c r="Q32" s="7">
        <v>2</v>
      </c>
      <c r="R32" s="7">
        <v>0</v>
      </c>
      <c r="S32" s="1">
        <f t="shared" si="11"/>
        <v>124</v>
      </c>
      <c r="T32" s="112">
        <f t="shared" si="10"/>
        <v>496</v>
      </c>
      <c r="U32" s="7">
        <f t="shared" si="2"/>
        <v>273</v>
      </c>
      <c r="V32" s="10">
        <f t="shared" si="3"/>
        <v>174</v>
      </c>
      <c r="W32" s="8">
        <f t="shared" si="4"/>
        <v>0.61073825503355705</v>
      </c>
      <c r="X32" s="8">
        <f t="shared" si="5"/>
        <v>0.38926174496644295</v>
      </c>
      <c r="Y32" s="8">
        <v>0.82657613967022303</v>
      </c>
      <c r="Z32" s="8">
        <f t="shared" si="7"/>
        <v>0.33333333333333331</v>
      </c>
      <c r="AA32" s="8">
        <f t="shared" si="8"/>
        <v>0.27740492170022374</v>
      </c>
    </row>
    <row r="33" spans="1:27">
      <c r="A33" s="1">
        <v>30</v>
      </c>
      <c r="B33" s="22" t="s">
        <v>45</v>
      </c>
      <c r="C33" s="22" t="s">
        <v>49</v>
      </c>
      <c r="D33" s="6" t="s">
        <v>50</v>
      </c>
      <c r="E33" s="15">
        <v>683</v>
      </c>
      <c r="F33" s="15">
        <v>2066</v>
      </c>
      <c r="G33" s="30">
        <v>36</v>
      </c>
      <c r="H33" s="1"/>
      <c r="I33" s="7">
        <f t="shared" si="0"/>
        <v>36</v>
      </c>
      <c r="J33" s="112">
        <f t="shared" si="9"/>
        <v>144</v>
      </c>
      <c r="K33" s="7">
        <v>165</v>
      </c>
      <c r="L33" s="7">
        <v>235</v>
      </c>
      <c r="M33" s="7">
        <v>0</v>
      </c>
      <c r="N33" s="7">
        <v>0</v>
      </c>
      <c r="O33" s="7">
        <v>1</v>
      </c>
      <c r="P33" s="7">
        <v>0</v>
      </c>
      <c r="Q33" s="7">
        <v>5</v>
      </c>
      <c r="R33" s="7">
        <v>0</v>
      </c>
      <c r="S33" s="1">
        <f t="shared" si="11"/>
        <v>406</v>
      </c>
      <c r="T33" s="112">
        <f t="shared" si="10"/>
        <v>1624</v>
      </c>
      <c r="U33" s="7">
        <f t="shared" si="2"/>
        <v>442</v>
      </c>
      <c r="V33" s="10">
        <f t="shared" si="3"/>
        <v>241</v>
      </c>
      <c r="W33" s="8">
        <f t="shared" si="4"/>
        <v>0.64714494875549045</v>
      </c>
      <c r="X33" s="8">
        <f t="shared" si="5"/>
        <v>0.3528550512445095</v>
      </c>
      <c r="Y33" s="8">
        <v>0.70797831138652212</v>
      </c>
      <c r="Z33" s="8">
        <f t="shared" si="7"/>
        <v>5.2708638360175697E-2</v>
      </c>
      <c r="AA33" s="8">
        <f t="shared" si="8"/>
        <v>0.59443631039531475</v>
      </c>
    </row>
    <row r="34" spans="1:27">
      <c r="A34" s="1">
        <v>31</v>
      </c>
      <c r="B34" s="22" t="s">
        <v>45</v>
      </c>
      <c r="C34" s="22" t="s">
        <v>54</v>
      </c>
      <c r="D34" s="6" t="s">
        <v>55</v>
      </c>
      <c r="E34" s="15">
        <v>694</v>
      </c>
      <c r="F34" s="15">
        <v>2080</v>
      </c>
      <c r="G34" s="1"/>
      <c r="H34" s="30">
        <v>495</v>
      </c>
      <c r="I34" s="7">
        <f t="shared" si="0"/>
        <v>495</v>
      </c>
      <c r="J34" s="112">
        <f t="shared" si="9"/>
        <v>1980</v>
      </c>
      <c r="K34" s="7">
        <v>0</v>
      </c>
      <c r="L34" s="7">
        <v>5</v>
      </c>
      <c r="M34" s="7">
        <v>0</v>
      </c>
      <c r="N34" s="7">
        <v>0</v>
      </c>
      <c r="O34" s="7">
        <v>4</v>
      </c>
      <c r="P34" s="7">
        <v>2</v>
      </c>
      <c r="Q34" s="7">
        <v>0</v>
      </c>
      <c r="R34" s="7">
        <v>1</v>
      </c>
      <c r="S34" s="1">
        <f t="shared" si="11"/>
        <v>12</v>
      </c>
      <c r="T34" s="112">
        <f t="shared" si="10"/>
        <v>48</v>
      </c>
      <c r="U34" s="7">
        <f t="shared" si="2"/>
        <v>507</v>
      </c>
      <c r="V34" s="10">
        <f t="shared" si="3"/>
        <v>187</v>
      </c>
      <c r="W34" s="8">
        <f t="shared" si="4"/>
        <v>0.7305475504322767</v>
      </c>
      <c r="X34" s="8">
        <f t="shared" si="5"/>
        <v>0.26945244956772335</v>
      </c>
      <c r="Y34" s="8">
        <v>0.83697813121272369</v>
      </c>
      <c r="Z34" s="8">
        <f t="shared" si="7"/>
        <v>0.71325648414985587</v>
      </c>
      <c r="AA34" s="8">
        <f t="shared" si="8"/>
        <v>1.7291066282420751E-2</v>
      </c>
    </row>
    <row r="35" spans="1:27">
      <c r="A35" s="1">
        <v>32</v>
      </c>
      <c r="B35" s="22" t="s">
        <v>45</v>
      </c>
      <c r="C35" s="22" t="s">
        <v>51</v>
      </c>
      <c r="D35" s="6">
        <v>44621</v>
      </c>
      <c r="E35" s="15">
        <v>973</v>
      </c>
      <c r="F35" s="15">
        <v>3134</v>
      </c>
      <c r="G35" s="1"/>
      <c r="H35" s="1"/>
      <c r="I35" s="7">
        <f t="shared" si="0"/>
        <v>0</v>
      </c>
      <c r="J35" s="112">
        <f t="shared" si="9"/>
        <v>0</v>
      </c>
      <c r="K35" s="7">
        <v>500</v>
      </c>
      <c r="L35" s="7">
        <v>60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1">
        <f t="shared" si="11"/>
        <v>560</v>
      </c>
      <c r="T35" s="112">
        <f t="shared" si="10"/>
        <v>2240</v>
      </c>
      <c r="U35" s="7">
        <f t="shared" si="2"/>
        <v>560</v>
      </c>
      <c r="V35" s="10">
        <f t="shared" si="3"/>
        <v>413</v>
      </c>
      <c r="W35" s="8">
        <f t="shared" si="4"/>
        <v>0.57553956834532372</v>
      </c>
      <c r="X35" s="8">
        <f t="shared" si="5"/>
        <v>0.42446043165467628</v>
      </c>
      <c r="Y35" s="8">
        <v>0.637109174782163</v>
      </c>
      <c r="Z35" s="8">
        <f t="shared" si="7"/>
        <v>0</v>
      </c>
      <c r="AA35" s="8">
        <f t="shared" si="8"/>
        <v>0.57553956834532372</v>
      </c>
    </row>
    <row r="36" spans="1:27">
      <c r="A36" s="1">
        <v>33</v>
      </c>
      <c r="B36" s="22" t="s">
        <v>45</v>
      </c>
      <c r="C36" s="23" t="s">
        <v>62</v>
      </c>
      <c r="D36" s="6"/>
      <c r="E36" s="15">
        <v>826</v>
      </c>
      <c r="F36" s="15">
        <v>2616</v>
      </c>
      <c r="G36" s="110">
        <v>81</v>
      </c>
      <c r="H36" s="1"/>
      <c r="I36" s="7">
        <f t="shared" si="0"/>
        <v>81</v>
      </c>
      <c r="J36" s="112">
        <f t="shared" si="9"/>
        <v>324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">
        <f t="shared" si="11"/>
        <v>0</v>
      </c>
      <c r="T36" s="112">
        <f t="shared" si="10"/>
        <v>0</v>
      </c>
      <c r="U36" s="7">
        <f t="shared" si="2"/>
        <v>81</v>
      </c>
      <c r="V36" s="10">
        <f t="shared" si="3"/>
        <v>745</v>
      </c>
      <c r="W36" s="8">
        <f t="shared" si="4"/>
        <v>9.8062953995157381E-2</v>
      </c>
      <c r="X36" s="8">
        <f t="shared" si="5"/>
        <v>0.90193704600484259</v>
      </c>
      <c r="Y36" s="8">
        <f t="shared" ref="Y36:Y99" si="12">G36/E36</f>
        <v>9.8062953995157381E-2</v>
      </c>
      <c r="Z36" s="8">
        <f t="shared" si="7"/>
        <v>9.8062953995157381E-2</v>
      </c>
      <c r="AA36" s="8">
        <f t="shared" si="8"/>
        <v>0</v>
      </c>
    </row>
    <row r="37" spans="1:27">
      <c r="A37" s="1">
        <v>34</v>
      </c>
      <c r="B37" s="22" t="s">
        <v>45</v>
      </c>
      <c r="C37" s="22" t="s">
        <v>48</v>
      </c>
      <c r="D37" s="6">
        <v>45086</v>
      </c>
      <c r="E37" s="15">
        <v>718</v>
      </c>
      <c r="F37" s="15">
        <v>2233</v>
      </c>
      <c r="G37" s="30">
        <v>121</v>
      </c>
      <c r="H37" s="1"/>
      <c r="I37" s="7">
        <f t="shared" si="0"/>
        <v>121</v>
      </c>
      <c r="J37" s="112">
        <f t="shared" si="9"/>
        <v>484</v>
      </c>
      <c r="K37" s="7">
        <v>0</v>
      </c>
      <c r="L37" s="7">
        <v>356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  <c r="R37" s="7">
        <v>0</v>
      </c>
      <c r="S37" s="1">
        <f t="shared" si="11"/>
        <v>358</v>
      </c>
      <c r="T37" s="112">
        <f t="shared" si="10"/>
        <v>1432</v>
      </c>
      <c r="U37" s="7">
        <f t="shared" si="2"/>
        <v>479</v>
      </c>
      <c r="V37" s="10">
        <f t="shared" si="3"/>
        <v>239</v>
      </c>
      <c r="W37" s="8">
        <f t="shared" si="4"/>
        <v>0.66713091922005574</v>
      </c>
      <c r="X37" s="8">
        <f t="shared" si="5"/>
        <v>0.33286908077994432</v>
      </c>
      <c r="Y37" s="8">
        <f t="shared" si="12"/>
        <v>0.16852367688022285</v>
      </c>
      <c r="Z37" s="8">
        <f t="shared" si="7"/>
        <v>0.16852367688022285</v>
      </c>
      <c r="AA37" s="8">
        <f t="shared" si="8"/>
        <v>0.49860724233983289</v>
      </c>
    </row>
    <row r="38" spans="1:27">
      <c r="A38" s="1">
        <v>35</v>
      </c>
      <c r="B38" s="22" t="s">
        <v>45</v>
      </c>
      <c r="C38" s="22" t="s">
        <v>52</v>
      </c>
      <c r="D38" s="6">
        <v>44693</v>
      </c>
      <c r="E38" s="15">
        <v>521</v>
      </c>
      <c r="F38" s="15">
        <v>1554</v>
      </c>
      <c r="G38" s="30">
        <v>246</v>
      </c>
      <c r="H38" s="1"/>
      <c r="I38" s="7">
        <f t="shared" si="0"/>
        <v>246</v>
      </c>
      <c r="J38" s="112">
        <f t="shared" si="9"/>
        <v>984</v>
      </c>
      <c r="K38" s="7">
        <v>3</v>
      </c>
      <c r="L38" s="7">
        <v>92</v>
      </c>
      <c r="M38" s="7">
        <v>84</v>
      </c>
      <c r="N38" s="7">
        <v>19</v>
      </c>
      <c r="O38" s="96">
        <f>65+111-108</f>
        <v>68</v>
      </c>
      <c r="P38" s="7">
        <v>2</v>
      </c>
      <c r="Q38" s="7">
        <v>7</v>
      </c>
      <c r="R38" s="7">
        <v>0</v>
      </c>
      <c r="S38" s="1">
        <f t="shared" si="11"/>
        <v>275</v>
      </c>
      <c r="T38" s="112">
        <f t="shared" si="10"/>
        <v>1100</v>
      </c>
      <c r="U38" s="7">
        <f t="shared" si="2"/>
        <v>521</v>
      </c>
      <c r="V38" s="10">
        <f t="shared" si="3"/>
        <v>0</v>
      </c>
      <c r="W38" s="8">
        <f t="shared" si="4"/>
        <v>1</v>
      </c>
      <c r="X38" s="8">
        <f t="shared" si="5"/>
        <v>0</v>
      </c>
      <c r="Y38" s="8">
        <f t="shared" si="12"/>
        <v>0.47216890595009597</v>
      </c>
      <c r="Z38" s="8">
        <f t="shared" si="7"/>
        <v>0.47216890595009597</v>
      </c>
      <c r="AA38" s="8">
        <f t="shared" si="8"/>
        <v>0.52783109404990403</v>
      </c>
    </row>
    <row r="39" spans="1:27">
      <c r="A39" s="1">
        <v>36</v>
      </c>
      <c r="B39" s="22" t="s">
        <v>65</v>
      </c>
      <c r="C39" s="23" t="s">
        <v>96</v>
      </c>
      <c r="D39" s="6" t="s">
        <v>101</v>
      </c>
      <c r="E39" s="10">
        <v>173</v>
      </c>
      <c r="F39" s="10">
        <v>505</v>
      </c>
      <c r="G39" s="1"/>
      <c r="H39" s="1"/>
      <c r="I39" s="7">
        <f t="shared" si="0"/>
        <v>0</v>
      </c>
      <c r="J39" s="112">
        <f t="shared" si="9"/>
        <v>0</v>
      </c>
      <c r="K39" s="7">
        <v>0</v>
      </c>
      <c r="L39" s="7">
        <v>2</v>
      </c>
      <c r="M39" s="7">
        <v>0</v>
      </c>
      <c r="N39" s="7">
        <v>1</v>
      </c>
      <c r="O39" s="95">
        <v>104</v>
      </c>
      <c r="P39" s="7">
        <v>0</v>
      </c>
      <c r="Q39" s="7">
        <v>0</v>
      </c>
      <c r="R39" s="7">
        <v>0</v>
      </c>
      <c r="S39" s="1">
        <f t="shared" si="11"/>
        <v>107</v>
      </c>
      <c r="T39" s="112">
        <f t="shared" si="10"/>
        <v>428</v>
      </c>
      <c r="U39" s="7">
        <f t="shared" si="2"/>
        <v>107</v>
      </c>
      <c r="V39" s="10">
        <f t="shared" si="3"/>
        <v>66</v>
      </c>
      <c r="W39" s="8">
        <f t="shared" si="4"/>
        <v>0.61849710982658956</v>
      </c>
      <c r="X39" s="8">
        <f t="shared" si="5"/>
        <v>0.38150289017341038</v>
      </c>
      <c r="Y39" s="8">
        <f t="shared" si="12"/>
        <v>0</v>
      </c>
      <c r="Z39" s="8">
        <f t="shared" si="7"/>
        <v>0</v>
      </c>
      <c r="AA39" s="8">
        <f t="shared" si="8"/>
        <v>0.61849710982658956</v>
      </c>
    </row>
    <row r="40" spans="1:27">
      <c r="A40" s="1">
        <v>37</v>
      </c>
      <c r="B40" s="22" t="s">
        <v>65</v>
      </c>
      <c r="C40" s="23" t="s">
        <v>100</v>
      </c>
      <c r="D40" s="6" t="s">
        <v>87</v>
      </c>
      <c r="E40" s="10">
        <v>336</v>
      </c>
      <c r="F40" s="10">
        <v>1055</v>
      </c>
      <c r="G40" s="30">
        <v>233</v>
      </c>
      <c r="H40" s="1"/>
      <c r="I40" s="7">
        <f t="shared" si="0"/>
        <v>233</v>
      </c>
      <c r="J40" s="112">
        <f t="shared" si="9"/>
        <v>932</v>
      </c>
      <c r="K40" s="7">
        <v>0</v>
      </c>
      <c r="L40" s="7">
        <v>56</v>
      </c>
      <c r="M40" s="7">
        <v>0</v>
      </c>
      <c r="N40" s="7">
        <v>0</v>
      </c>
      <c r="O40" s="96">
        <f>111-65</f>
        <v>46</v>
      </c>
      <c r="P40" s="7">
        <v>1</v>
      </c>
      <c r="Q40" s="7">
        <v>0</v>
      </c>
      <c r="R40" s="7">
        <v>0</v>
      </c>
      <c r="S40" s="1">
        <f t="shared" si="11"/>
        <v>103</v>
      </c>
      <c r="T40" s="112">
        <f t="shared" si="10"/>
        <v>412</v>
      </c>
      <c r="U40" s="7">
        <f t="shared" si="2"/>
        <v>336</v>
      </c>
      <c r="V40" s="10">
        <f t="shared" si="3"/>
        <v>0</v>
      </c>
      <c r="W40" s="8">
        <f t="shared" si="4"/>
        <v>1</v>
      </c>
      <c r="X40" s="8">
        <f t="shared" si="5"/>
        <v>0</v>
      </c>
      <c r="Y40" s="8">
        <f t="shared" si="12"/>
        <v>0.69345238095238093</v>
      </c>
      <c r="Z40" s="8">
        <f t="shared" si="7"/>
        <v>0.69345238095238093</v>
      </c>
      <c r="AA40" s="8">
        <f t="shared" si="8"/>
        <v>0.30654761904761907</v>
      </c>
    </row>
    <row r="41" spans="1:27">
      <c r="A41" s="1">
        <v>38</v>
      </c>
      <c r="B41" s="22" t="s">
        <v>65</v>
      </c>
      <c r="C41" s="22" t="s">
        <v>94</v>
      </c>
      <c r="D41" s="6" t="s">
        <v>95</v>
      </c>
      <c r="E41" s="10">
        <v>243</v>
      </c>
      <c r="F41" s="10">
        <v>717</v>
      </c>
      <c r="G41" s="1"/>
      <c r="H41" s="30">
        <v>105</v>
      </c>
      <c r="I41" s="7">
        <f t="shared" si="0"/>
        <v>105</v>
      </c>
      <c r="J41" s="112">
        <f t="shared" si="9"/>
        <v>420</v>
      </c>
      <c r="K41" s="7">
        <v>0</v>
      </c>
      <c r="L41" s="7">
        <v>20</v>
      </c>
      <c r="M41" s="7">
        <v>0</v>
      </c>
      <c r="N41" s="7">
        <v>0</v>
      </c>
      <c r="O41" s="7">
        <v>4</v>
      </c>
      <c r="P41" s="7">
        <v>0</v>
      </c>
      <c r="Q41" s="7">
        <v>0</v>
      </c>
      <c r="R41" s="7">
        <v>0</v>
      </c>
      <c r="S41" s="1">
        <f t="shared" si="11"/>
        <v>24</v>
      </c>
      <c r="T41" s="112">
        <f t="shared" si="10"/>
        <v>96</v>
      </c>
      <c r="U41" s="7">
        <f t="shared" si="2"/>
        <v>129</v>
      </c>
      <c r="V41" s="10">
        <f t="shared" si="3"/>
        <v>114</v>
      </c>
      <c r="W41" s="8">
        <f t="shared" si="4"/>
        <v>0.53086419753086422</v>
      </c>
      <c r="X41" s="8">
        <f t="shared" si="5"/>
        <v>0.46913580246913578</v>
      </c>
      <c r="Y41" s="8">
        <f t="shared" si="12"/>
        <v>0</v>
      </c>
      <c r="Z41" s="8">
        <f t="shared" si="7"/>
        <v>0.43209876543209874</v>
      </c>
      <c r="AA41" s="8">
        <f t="shared" si="8"/>
        <v>9.8765432098765427E-2</v>
      </c>
    </row>
    <row r="42" spans="1:27">
      <c r="A42" s="1">
        <v>39</v>
      </c>
      <c r="B42" s="22" t="s">
        <v>65</v>
      </c>
      <c r="C42" s="23" t="s">
        <v>98</v>
      </c>
      <c r="D42" s="6" t="s">
        <v>99</v>
      </c>
      <c r="E42" s="10">
        <v>110</v>
      </c>
      <c r="F42" s="10">
        <v>354</v>
      </c>
      <c r="G42" s="1"/>
      <c r="H42" s="1"/>
      <c r="I42" s="7">
        <f t="shared" si="0"/>
        <v>0</v>
      </c>
      <c r="J42" s="112">
        <f t="shared" si="9"/>
        <v>0</v>
      </c>
      <c r="K42" s="7">
        <v>0</v>
      </c>
      <c r="L42" s="7">
        <v>0</v>
      </c>
      <c r="M42" s="7">
        <v>1</v>
      </c>
      <c r="N42" s="7">
        <v>0</v>
      </c>
      <c r="O42" s="7">
        <v>3</v>
      </c>
      <c r="P42" s="7">
        <v>0</v>
      </c>
      <c r="Q42" s="7">
        <v>1</v>
      </c>
      <c r="R42" s="7">
        <v>0</v>
      </c>
      <c r="S42" s="1">
        <f t="shared" si="11"/>
        <v>5</v>
      </c>
      <c r="T42" s="112">
        <f t="shared" si="10"/>
        <v>20</v>
      </c>
      <c r="U42" s="7">
        <f t="shared" si="2"/>
        <v>5</v>
      </c>
      <c r="V42" s="10">
        <f t="shared" si="3"/>
        <v>105</v>
      </c>
      <c r="W42" s="8">
        <f t="shared" si="4"/>
        <v>4.5454545454545456E-2</v>
      </c>
      <c r="X42" s="8">
        <f t="shared" si="5"/>
        <v>0.95454545454545459</v>
      </c>
      <c r="Y42" s="8">
        <f t="shared" si="12"/>
        <v>0</v>
      </c>
      <c r="Z42" s="8">
        <f t="shared" si="7"/>
        <v>0</v>
      </c>
      <c r="AA42" s="8">
        <f t="shared" si="8"/>
        <v>4.5454545454545456E-2</v>
      </c>
    </row>
    <row r="43" spans="1:27">
      <c r="A43" s="1">
        <v>40</v>
      </c>
      <c r="B43" s="22" t="s">
        <v>65</v>
      </c>
      <c r="C43" s="22" t="s">
        <v>75</v>
      </c>
      <c r="D43" s="6">
        <v>44659</v>
      </c>
      <c r="E43" s="10">
        <v>409</v>
      </c>
      <c r="F43" s="10">
        <v>1266</v>
      </c>
      <c r="G43" s="1"/>
      <c r="H43" s="30">
        <v>161</v>
      </c>
      <c r="I43" s="7">
        <f t="shared" si="0"/>
        <v>161</v>
      </c>
      <c r="J43" s="112">
        <f t="shared" si="9"/>
        <v>644</v>
      </c>
      <c r="K43" s="7">
        <v>50</v>
      </c>
      <c r="L43" s="7">
        <v>50</v>
      </c>
      <c r="M43" s="7">
        <v>0</v>
      </c>
      <c r="N43" s="7">
        <v>0</v>
      </c>
      <c r="O43" s="95">
        <f>10+60</f>
        <v>70</v>
      </c>
      <c r="P43" s="7">
        <v>1</v>
      </c>
      <c r="Q43" s="7">
        <v>1</v>
      </c>
      <c r="R43" s="7">
        <v>10</v>
      </c>
      <c r="S43" s="1">
        <f t="shared" si="11"/>
        <v>182</v>
      </c>
      <c r="T43" s="112">
        <f t="shared" si="10"/>
        <v>728</v>
      </c>
      <c r="U43" s="7">
        <f t="shared" si="2"/>
        <v>343</v>
      </c>
      <c r="V43" s="10">
        <f t="shared" si="3"/>
        <v>66</v>
      </c>
      <c r="W43" s="8">
        <f t="shared" si="4"/>
        <v>0.8386308068459658</v>
      </c>
      <c r="X43" s="8">
        <f t="shared" si="5"/>
        <v>0.16136919315403422</v>
      </c>
      <c r="Y43" s="8">
        <f t="shared" si="12"/>
        <v>0</v>
      </c>
      <c r="Z43" s="8">
        <f t="shared" si="7"/>
        <v>0.39364303178484106</v>
      </c>
      <c r="AA43" s="8">
        <f t="shared" si="8"/>
        <v>0.44498777506112469</v>
      </c>
    </row>
    <row r="44" spans="1:27">
      <c r="A44" s="1">
        <v>41</v>
      </c>
      <c r="B44" s="22" t="s">
        <v>65</v>
      </c>
      <c r="C44" s="22" t="s">
        <v>80</v>
      </c>
      <c r="D44" s="6" t="s">
        <v>81</v>
      </c>
      <c r="E44" s="10">
        <v>657</v>
      </c>
      <c r="F44" s="10">
        <v>1865</v>
      </c>
      <c r="G44" s="30">
        <v>144</v>
      </c>
      <c r="H44" s="1"/>
      <c r="I44" s="7">
        <f t="shared" si="0"/>
        <v>144</v>
      </c>
      <c r="J44" s="112">
        <f t="shared" si="9"/>
        <v>576</v>
      </c>
      <c r="K44" s="7">
        <v>0</v>
      </c>
      <c r="L44" s="7">
        <v>180</v>
      </c>
      <c r="M44" s="7">
        <v>0</v>
      </c>
      <c r="N44" s="7">
        <v>100</v>
      </c>
      <c r="O44" s="95">
        <v>83</v>
      </c>
      <c r="P44" s="7">
        <v>0</v>
      </c>
      <c r="Q44" s="7">
        <v>3</v>
      </c>
      <c r="R44" s="7">
        <v>0</v>
      </c>
      <c r="S44" s="1">
        <f t="shared" si="11"/>
        <v>366</v>
      </c>
      <c r="T44" s="112">
        <f t="shared" si="10"/>
        <v>1464</v>
      </c>
      <c r="U44" s="7">
        <f t="shared" si="2"/>
        <v>510</v>
      </c>
      <c r="V44" s="10">
        <f t="shared" si="3"/>
        <v>147</v>
      </c>
      <c r="W44" s="8">
        <f t="shared" si="4"/>
        <v>0.77625570776255703</v>
      </c>
      <c r="X44" s="8">
        <f t="shared" si="5"/>
        <v>0.22374429223744291</v>
      </c>
      <c r="Y44" s="8">
        <f t="shared" si="12"/>
        <v>0.21917808219178081</v>
      </c>
      <c r="Z44" s="8">
        <f t="shared" si="7"/>
        <v>0.21917808219178081</v>
      </c>
      <c r="AA44" s="8">
        <f t="shared" si="8"/>
        <v>0.55707762557077622</v>
      </c>
    </row>
    <row r="45" spans="1:27">
      <c r="A45" s="1">
        <v>42</v>
      </c>
      <c r="B45" s="22" t="s">
        <v>65</v>
      </c>
      <c r="C45" s="24" t="s">
        <v>82</v>
      </c>
      <c r="D45" s="6" t="s">
        <v>83</v>
      </c>
      <c r="E45" s="10">
        <v>373</v>
      </c>
      <c r="F45" s="10">
        <v>1188</v>
      </c>
      <c r="G45" s="1"/>
      <c r="H45" s="1"/>
      <c r="I45" s="7">
        <f t="shared" si="0"/>
        <v>0</v>
      </c>
      <c r="J45" s="112">
        <f t="shared" si="9"/>
        <v>0</v>
      </c>
      <c r="K45" s="32">
        <f>3+20</f>
        <v>23</v>
      </c>
      <c r="L45" s="7">
        <f>145</f>
        <v>145</v>
      </c>
      <c r="M45" s="7">
        <v>0</v>
      </c>
      <c r="N45" s="7">
        <v>3</v>
      </c>
      <c r="O45" s="95">
        <v>83</v>
      </c>
      <c r="P45" s="7">
        <v>0</v>
      </c>
      <c r="Q45" s="7">
        <v>2</v>
      </c>
      <c r="R45" s="7">
        <v>0</v>
      </c>
      <c r="S45" s="1">
        <f t="shared" si="11"/>
        <v>256</v>
      </c>
      <c r="T45" s="112">
        <f t="shared" si="10"/>
        <v>1024</v>
      </c>
      <c r="U45" s="7">
        <f t="shared" si="2"/>
        <v>256</v>
      </c>
      <c r="V45" s="10">
        <f t="shared" si="3"/>
        <v>117</v>
      </c>
      <c r="W45" s="8">
        <f t="shared" si="4"/>
        <v>0.68632707774798929</v>
      </c>
      <c r="X45" s="8">
        <f t="shared" si="5"/>
        <v>0.31367292225201071</v>
      </c>
      <c r="Y45" s="8">
        <f t="shared" si="12"/>
        <v>0</v>
      </c>
      <c r="Z45" s="8">
        <f t="shared" si="7"/>
        <v>0</v>
      </c>
      <c r="AA45" s="8">
        <f t="shared" si="8"/>
        <v>0.68632707774798929</v>
      </c>
    </row>
    <row r="46" spans="1:27">
      <c r="A46" s="1">
        <v>43</v>
      </c>
      <c r="B46" s="22" t="s">
        <v>65</v>
      </c>
      <c r="C46" s="23" t="s">
        <v>88</v>
      </c>
      <c r="D46" s="6" t="s">
        <v>63</v>
      </c>
      <c r="E46" s="10">
        <v>585</v>
      </c>
      <c r="F46" s="10">
        <v>1734</v>
      </c>
      <c r="G46" s="1"/>
      <c r="H46" s="30">
        <v>105</v>
      </c>
      <c r="I46" s="7">
        <f t="shared" si="0"/>
        <v>105</v>
      </c>
      <c r="J46" s="112">
        <f t="shared" si="9"/>
        <v>420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3</v>
      </c>
      <c r="Q46" s="7">
        <v>0</v>
      </c>
      <c r="R46" s="7">
        <v>0</v>
      </c>
      <c r="S46" s="1">
        <f t="shared" si="11"/>
        <v>5</v>
      </c>
      <c r="T46" s="112">
        <f t="shared" si="10"/>
        <v>20</v>
      </c>
      <c r="U46" s="7">
        <f t="shared" si="2"/>
        <v>110</v>
      </c>
      <c r="V46" s="10">
        <f t="shared" si="3"/>
        <v>475</v>
      </c>
      <c r="W46" s="8">
        <f t="shared" si="4"/>
        <v>0.18803418803418803</v>
      </c>
      <c r="X46" s="8">
        <f t="shared" si="5"/>
        <v>0.81196581196581197</v>
      </c>
      <c r="Y46" s="8">
        <f t="shared" si="12"/>
        <v>0</v>
      </c>
      <c r="Z46" s="8">
        <f t="shared" si="7"/>
        <v>0.17948717948717949</v>
      </c>
      <c r="AA46" s="8">
        <f t="shared" si="8"/>
        <v>8.5470085470085479E-3</v>
      </c>
    </row>
    <row r="47" spans="1:27">
      <c r="A47" s="1">
        <v>44</v>
      </c>
      <c r="B47" s="22" t="s">
        <v>65</v>
      </c>
      <c r="C47" s="23" t="s">
        <v>89</v>
      </c>
      <c r="D47" s="6">
        <v>44628</v>
      </c>
      <c r="E47" s="10">
        <v>552</v>
      </c>
      <c r="F47" s="10">
        <v>1635</v>
      </c>
      <c r="G47" s="1"/>
      <c r="H47" s="30">
        <v>12</v>
      </c>
      <c r="I47" s="7">
        <f t="shared" si="0"/>
        <v>12</v>
      </c>
      <c r="J47" s="112">
        <f t="shared" si="9"/>
        <v>48</v>
      </c>
      <c r="K47" s="7">
        <v>0</v>
      </c>
      <c r="L47" s="7">
        <v>25</v>
      </c>
      <c r="M47" s="7">
        <v>0</v>
      </c>
      <c r="N47" s="7">
        <v>0</v>
      </c>
      <c r="O47" s="7">
        <v>0</v>
      </c>
      <c r="P47" s="7">
        <v>17</v>
      </c>
      <c r="Q47" s="7">
        <v>1</v>
      </c>
      <c r="R47" s="7">
        <v>0</v>
      </c>
      <c r="S47" s="1">
        <f t="shared" si="11"/>
        <v>43</v>
      </c>
      <c r="T47" s="112">
        <f t="shared" si="10"/>
        <v>172</v>
      </c>
      <c r="U47" s="7">
        <f t="shared" si="2"/>
        <v>55</v>
      </c>
      <c r="V47" s="10">
        <f t="shared" si="3"/>
        <v>497</v>
      </c>
      <c r="W47" s="8">
        <f t="shared" si="4"/>
        <v>9.9637681159420288E-2</v>
      </c>
      <c r="X47" s="8">
        <f t="shared" si="5"/>
        <v>0.90036231884057971</v>
      </c>
      <c r="Y47" s="8">
        <f t="shared" si="12"/>
        <v>0</v>
      </c>
      <c r="Z47" s="8">
        <f t="shared" si="7"/>
        <v>2.1739130434782608E-2</v>
      </c>
      <c r="AA47" s="8">
        <f t="shared" si="8"/>
        <v>7.789855072463768E-2</v>
      </c>
    </row>
    <row r="48" spans="1:27">
      <c r="A48" s="1">
        <v>45</v>
      </c>
      <c r="B48" s="22" t="s">
        <v>65</v>
      </c>
      <c r="C48" s="22" t="s">
        <v>84</v>
      </c>
      <c r="D48" s="6">
        <v>44900</v>
      </c>
      <c r="E48" s="10">
        <v>679</v>
      </c>
      <c r="F48" s="10">
        <v>2164</v>
      </c>
      <c r="G48" s="30">
        <v>318</v>
      </c>
      <c r="H48" s="1"/>
      <c r="I48" s="7">
        <f t="shared" si="0"/>
        <v>318</v>
      </c>
      <c r="J48" s="112">
        <f t="shared" si="9"/>
        <v>1272</v>
      </c>
      <c r="K48" s="7">
        <v>0</v>
      </c>
      <c r="L48" s="7">
        <v>200</v>
      </c>
      <c r="M48" s="7">
        <v>0</v>
      </c>
      <c r="N48" s="7">
        <v>0</v>
      </c>
      <c r="O48" s="96">
        <f>92+60+60+107+99-261</f>
        <v>157</v>
      </c>
      <c r="P48" s="7">
        <v>4</v>
      </c>
      <c r="Q48" s="7">
        <v>0</v>
      </c>
      <c r="R48" s="7">
        <v>0</v>
      </c>
      <c r="S48" s="1">
        <f t="shared" si="11"/>
        <v>361</v>
      </c>
      <c r="T48" s="112">
        <f t="shared" si="10"/>
        <v>1444</v>
      </c>
      <c r="U48" s="7">
        <f t="shared" si="2"/>
        <v>679</v>
      </c>
      <c r="V48" s="10">
        <f t="shared" si="3"/>
        <v>0</v>
      </c>
      <c r="W48" s="8">
        <f t="shared" si="4"/>
        <v>1</v>
      </c>
      <c r="X48" s="8">
        <f t="shared" si="5"/>
        <v>0</v>
      </c>
      <c r="Y48" s="8">
        <f t="shared" si="12"/>
        <v>0.46833578792341679</v>
      </c>
      <c r="Z48" s="8">
        <f t="shared" si="7"/>
        <v>0.46833578792341679</v>
      </c>
      <c r="AA48" s="8">
        <f t="shared" si="8"/>
        <v>0.53166421207658321</v>
      </c>
    </row>
    <row r="49" spans="1:27">
      <c r="A49" s="1">
        <v>46</v>
      </c>
      <c r="B49" s="22" t="s">
        <v>65</v>
      </c>
      <c r="C49" s="22" t="s">
        <v>79</v>
      </c>
      <c r="D49" s="6" t="s">
        <v>63</v>
      </c>
      <c r="E49" s="10">
        <v>353</v>
      </c>
      <c r="F49" s="10">
        <v>1003</v>
      </c>
      <c r="G49" s="1"/>
      <c r="H49" s="30">
        <v>175</v>
      </c>
      <c r="I49" s="7">
        <f t="shared" si="0"/>
        <v>175</v>
      </c>
      <c r="J49" s="112">
        <f t="shared" si="9"/>
        <v>700</v>
      </c>
      <c r="K49" s="7">
        <v>1</v>
      </c>
      <c r="L49" s="18">
        <v>150</v>
      </c>
      <c r="M49" s="7">
        <v>0</v>
      </c>
      <c r="N49" s="7">
        <v>0</v>
      </c>
      <c r="O49" s="7">
        <v>0</v>
      </c>
      <c r="P49" s="7">
        <v>4</v>
      </c>
      <c r="Q49" s="7">
        <v>1</v>
      </c>
      <c r="R49" s="7">
        <v>0</v>
      </c>
      <c r="S49" s="1">
        <f t="shared" si="11"/>
        <v>156</v>
      </c>
      <c r="T49" s="112">
        <f t="shared" si="10"/>
        <v>624</v>
      </c>
      <c r="U49" s="7">
        <f t="shared" si="2"/>
        <v>331</v>
      </c>
      <c r="V49" s="31">
        <f t="shared" si="3"/>
        <v>22</v>
      </c>
      <c r="W49" s="8">
        <f t="shared" si="4"/>
        <v>0.93767705382436262</v>
      </c>
      <c r="X49" s="8">
        <f t="shared" si="5"/>
        <v>6.2322946175637391E-2</v>
      </c>
      <c r="Y49" s="8">
        <f t="shared" si="12"/>
        <v>0</v>
      </c>
      <c r="Z49" s="8">
        <f t="shared" si="7"/>
        <v>0.49575070821529743</v>
      </c>
      <c r="AA49" s="8">
        <f t="shared" si="8"/>
        <v>0.44192634560906513</v>
      </c>
    </row>
    <row r="50" spans="1:27">
      <c r="A50" s="1">
        <v>47</v>
      </c>
      <c r="B50" s="22" t="s">
        <v>65</v>
      </c>
      <c r="C50" s="22" t="s">
        <v>76</v>
      </c>
      <c r="D50" s="6" t="s">
        <v>77</v>
      </c>
      <c r="E50" s="10">
        <v>304</v>
      </c>
      <c r="F50" s="10">
        <v>903</v>
      </c>
      <c r="G50" s="1"/>
      <c r="H50" s="30">
        <v>253</v>
      </c>
      <c r="I50" s="7">
        <f t="shared" si="0"/>
        <v>253</v>
      </c>
      <c r="J50" s="112">
        <f t="shared" si="9"/>
        <v>1012</v>
      </c>
      <c r="K50" s="7">
        <v>15</v>
      </c>
      <c r="L50" s="18">
        <v>0</v>
      </c>
      <c r="M50" s="7">
        <v>10</v>
      </c>
      <c r="N50" s="7">
        <v>0</v>
      </c>
      <c r="O50" s="7">
        <v>0</v>
      </c>
      <c r="P50" s="7">
        <v>1</v>
      </c>
      <c r="Q50" s="7">
        <v>0</v>
      </c>
      <c r="R50" s="7">
        <v>0</v>
      </c>
      <c r="S50" s="1">
        <f t="shared" si="11"/>
        <v>26</v>
      </c>
      <c r="T50" s="112">
        <f t="shared" si="10"/>
        <v>104</v>
      </c>
      <c r="U50" s="7">
        <f t="shared" si="2"/>
        <v>279</v>
      </c>
      <c r="V50" s="31">
        <f t="shared" si="3"/>
        <v>25</v>
      </c>
      <c r="W50" s="8">
        <f t="shared" si="4"/>
        <v>0.91776315789473684</v>
      </c>
      <c r="X50" s="8">
        <f t="shared" si="5"/>
        <v>8.2236842105263164E-2</v>
      </c>
      <c r="Y50" s="8">
        <f t="shared" si="12"/>
        <v>0</v>
      </c>
      <c r="Z50" s="8">
        <f t="shared" si="7"/>
        <v>0.83223684210526316</v>
      </c>
      <c r="AA50" s="8">
        <f t="shared" si="8"/>
        <v>8.5526315789473686E-2</v>
      </c>
    </row>
    <row r="51" spans="1:27">
      <c r="A51" s="1">
        <v>48</v>
      </c>
      <c r="B51" s="22" t="s">
        <v>65</v>
      </c>
      <c r="C51" s="22" t="s">
        <v>78</v>
      </c>
      <c r="D51" s="6">
        <v>44713</v>
      </c>
      <c r="E51" s="10">
        <v>516</v>
      </c>
      <c r="F51" s="10">
        <v>1566</v>
      </c>
      <c r="G51" s="1"/>
      <c r="H51" s="30">
        <v>215</v>
      </c>
      <c r="I51" s="7">
        <f t="shared" si="0"/>
        <v>215</v>
      </c>
      <c r="J51" s="112">
        <f t="shared" si="9"/>
        <v>860</v>
      </c>
      <c r="K51" s="7">
        <v>0</v>
      </c>
      <c r="L51" s="7">
        <v>185</v>
      </c>
      <c r="M51" s="7">
        <v>1</v>
      </c>
      <c r="N51" s="7">
        <v>0</v>
      </c>
      <c r="O51" s="96">
        <f>350-318</f>
        <v>32</v>
      </c>
      <c r="P51" s="7">
        <v>3</v>
      </c>
      <c r="Q51" s="7">
        <v>80</v>
      </c>
      <c r="R51" s="7">
        <v>0</v>
      </c>
      <c r="S51" s="1">
        <f t="shared" si="11"/>
        <v>301</v>
      </c>
      <c r="T51" s="112">
        <f t="shared" si="10"/>
        <v>1204</v>
      </c>
      <c r="U51" s="7">
        <f t="shared" si="2"/>
        <v>516</v>
      </c>
      <c r="V51" s="10">
        <f t="shared" si="3"/>
        <v>0</v>
      </c>
      <c r="W51" s="8">
        <f t="shared" si="4"/>
        <v>1</v>
      </c>
      <c r="X51" s="8">
        <f t="shared" si="5"/>
        <v>0</v>
      </c>
      <c r="Y51" s="8">
        <f t="shared" si="12"/>
        <v>0</v>
      </c>
      <c r="Z51" s="8">
        <f t="shared" si="7"/>
        <v>0.41666666666666669</v>
      </c>
      <c r="AA51" s="8">
        <f t="shared" si="8"/>
        <v>0.58333333333333337</v>
      </c>
    </row>
    <row r="52" spans="1:27">
      <c r="A52" s="1">
        <v>49</v>
      </c>
      <c r="B52" s="22" t="s">
        <v>65</v>
      </c>
      <c r="C52" s="22" t="s">
        <v>66</v>
      </c>
      <c r="D52" s="6" t="s">
        <v>67</v>
      </c>
      <c r="E52" s="10">
        <v>641</v>
      </c>
      <c r="F52" s="10">
        <v>2127</v>
      </c>
      <c r="G52" s="30">
        <v>439</v>
      </c>
      <c r="H52" s="1"/>
      <c r="I52" s="7">
        <f t="shared" si="0"/>
        <v>439</v>
      </c>
      <c r="J52" s="112">
        <f t="shared" si="9"/>
        <v>1756</v>
      </c>
      <c r="K52" s="7">
        <v>0</v>
      </c>
      <c r="L52" s="7">
        <v>10</v>
      </c>
      <c r="M52" s="7">
        <v>4</v>
      </c>
      <c r="N52" s="7">
        <v>0</v>
      </c>
      <c r="O52" s="95">
        <v>55</v>
      </c>
      <c r="P52" s="7">
        <v>0</v>
      </c>
      <c r="Q52" s="7">
        <v>2</v>
      </c>
      <c r="R52" s="7">
        <v>0</v>
      </c>
      <c r="S52" s="1">
        <f t="shared" si="11"/>
        <v>71</v>
      </c>
      <c r="T52" s="112">
        <f t="shared" si="10"/>
        <v>284</v>
      </c>
      <c r="U52" s="7">
        <f t="shared" si="2"/>
        <v>510</v>
      </c>
      <c r="V52" s="10">
        <f t="shared" si="3"/>
        <v>131</v>
      </c>
      <c r="W52" s="8">
        <f t="shared" si="4"/>
        <v>0.79563182527301091</v>
      </c>
      <c r="X52" s="8">
        <f t="shared" si="5"/>
        <v>0.20436817472698907</v>
      </c>
      <c r="Y52" s="8">
        <f t="shared" si="12"/>
        <v>0.68486739469578783</v>
      </c>
      <c r="Z52" s="8">
        <f t="shared" si="7"/>
        <v>0.68486739469578783</v>
      </c>
      <c r="AA52" s="8">
        <f t="shared" si="8"/>
        <v>0.11076443057722309</v>
      </c>
    </row>
    <row r="53" spans="1:27">
      <c r="A53" s="1">
        <v>50</v>
      </c>
      <c r="B53" s="22" t="s">
        <v>65</v>
      </c>
      <c r="C53" s="22" t="s">
        <v>91</v>
      </c>
      <c r="D53" s="6">
        <v>44896</v>
      </c>
      <c r="E53" s="10">
        <v>188</v>
      </c>
      <c r="F53" s="10">
        <v>611</v>
      </c>
      <c r="G53" s="1"/>
      <c r="H53" s="30">
        <v>158</v>
      </c>
      <c r="I53" s="7">
        <f t="shared" si="0"/>
        <v>158</v>
      </c>
      <c r="J53" s="112">
        <f t="shared" si="9"/>
        <v>632</v>
      </c>
      <c r="K53" s="7">
        <v>0</v>
      </c>
      <c r="L53" s="18">
        <v>0</v>
      </c>
      <c r="M53" s="7">
        <v>1</v>
      </c>
      <c r="N53" s="7">
        <v>0</v>
      </c>
      <c r="O53" s="7">
        <v>2</v>
      </c>
      <c r="P53" s="7">
        <v>3</v>
      </c>
      <c r="Q53" s="7">
        <v>3</v>
      </c>
      <c r="R53" s="7">
        <v>0</v>
      </c>
      <c r="S53" s="1">
        <f t="shared" si="11"/>
        <v>9</v>
      </c>
      <c r="T53" s="112">
        <f t="shared" si="10"/>
        <v>36</v>
      </c>
      <c r="U53" s="7">
        <f t="shared" si="2"/>
        <v>167</v>
      </c>
      <c r="V53" s="31">
        <f t="shared" si="3"/>
        <v>21</v>
      </c>
      <c r="W53" s="8">
        <f t="shared" si="4"/>
        <v>0.88829787234042556</v>
      </c>
      <c r="X53" s="8">
        <f t="shared" si="5"/>
        <v>0.11170212765957446</v>
      </c>
      <c r="Y53" s="8">
        <f t="shared" si="12"/>
        <v>0</v>
      </c>
      <c r="Z53" s="8">
        <f t="shared" si="7"/>
        <v>0.84042553191489366</v>
      </c>
      <c r="AA53" s="8">
        <f t="shared" si="8"/>
        <v>4.7872340425531915E-2</v>
      </c>
    </row>
    <row r="54" spans="1:27">
      <c r="A54" s="1">
        <v>51</v>
      </c>
      <c r="B54" s="22" t="s">
        <v>65</v>
      </c>
      <c r="C54" s="22" t="s">
        <v>65</v>
      </c>
      <c r="D54" s="6" t="s">
        <v>47</v>
      </c>
      <c r="E54" s="10">
        <v>530</v>
      </c>
      <c r="F54" s="10">
        <v>1665</v>
      </c>
      <c r="G54" s="30">
        <v>300</v>
      </c>
      <c r="H54" s="1"/>
      <c r="I54" s="7">
        <f t="shared" si="0"/>
        <v>300</v>
      </c>
      <c r="J54" s="112">
        <f t="shared" si="9"/>
        <v>1200</v>
      </c>
      <c r="K54" s="7">
        <v>4</v>
      </c>
      <c r="L54" s="7">
        <v>16</v>
      </c>
      <c r="M54" s="7">
        <v>7</v>
      </c>
      <c r="N54" s="7">
        <v>0</v>
      </c>
      <c r="O54" s="95">
        <f>3+132</f>
        <v>135</v>
      </c>
      <c r="P54" s="7">
        <v>2</v>
      </c>
      <c r="Q54" s="7">
        <v>6</v>
      </c>
      <c r="R54" s="7">
        <v>1</v>
      </c>
      <c r="S54" s="1">
        <f t="shared" si="11"/>
        <v>171</v>
      </c>
      <c r="T54" s="112">
        <f t="shared" si="10"/>
        <v>684</v>
      </c>
      <c r="U54" s="7">
        <f t="shared" si="2"/>
        <v>471</v>
      </c>
      <c r="V54" s="10">
        <f t="shared" si="3"/>
        <v>59</v>
      </c>
      <c r="W54" s="8">
        <f t="shared" si="4"/>
        <v>0.88867924528301889</v>
      </c>
      <c r="X54" s="8">
        <f t="shared" si="5"/>
        <v>0.11132075471698114</v>
      </c>
      <c r="Y54" s="8">
        <f t="shared" si="12"/>
        <v>0.56603773584905659</v>
      </c>
      <c r="Z54" s="8">
        <f t="shared" si="7"/>
        <v>0.56603773584905659</v>
      </c>
      <c r="AA54" s="8">
        <f t="shared" si="8"/>
        <v>0.32264150943396225</v>
      </c>
    </row>
    <row r="55" spans="1:27">
      <c r="A55" s="1">
        <v>52</v>
      </c>
      <c r="B55" s="22" t="s">
        <v>65</v>
      </c>
      <c r="C55" s="23" t="s">
        <v>72</v>
      </c>
      <c r="D55" s="6" t="s">
        <v>50</v>
      </c>
      <c r="E55" s="10">
        <v>634</v>
      </c>
      <c r="F55" s="10">
        <v>1886</v>
      </c>
      <c r="G55" s="1"/>
      <c r="H55" s="1"/>
      <c r="I55" s="7">
        <f t="shared" si="0"/>
        <v>0</v>
      </c>
      <c r="J55" s="112">
        <f t="shared" si="9"/>
        <v>0</v>
      </c>
      <c r="K55" s="7">
        <v>1</v>
      </c>
      <c r="L55" s="7">
        <v>0</v>
      </c>
      <c r="M55" s="7">
        <v>0</v>
      </c>
      <c r="N55" s="7">
        <v>0</v>
      </c>
      <c r="O55" s="95">
        <f>15+100</f>
        <v>115</v>
      </c>
      <c r="P55" s="7">
        <v>0</v>
      </c>
      <c r="Q55" s="7">
        <v>0</v>
      </c>
      <c r="R55" s="7">
        <v>1</v>
      </c>
      <c r="S55" s="1">
        <f t="shared" si="11"/>
        <v>117</v>
      </c>
      <c r="T55" s="112">
        <f t="shared" si="10"/>
        <v>468</v>
      </c>
      <c r="U55" s="7">
        <f t="shared" si="2"/>
        <v>117</v>
      </c>
      <c r="V55" s="10">
        <f t="shared" si="3"/>
        <v>517</v>
      </c>
      <c r="W55" s="8">
        <f t="shared" si="4"/>
        <v>0.18454258675078863</v>
      </c>
      <c r="X55" s="8">
        <f t="shared" si="5"/>
        <v>0.81545741324921139</v>
      </c>
      <c r="Y55" s="8">
        <f t="shared" si="12"/>
        <v>0</v>
      </c>
      <c r="Z55" s="8">
        <f t="shared" si="7"/>
        <v>0</v>
      </c>
      <c r="AA55" s="8">
        <f t="shared" si="8"/>
        <v>0.18454258675078863</v>
      </c>
    </row>
    <row r="56" spans="1:27">
      <c r="A56" s="1">
        <v>53</v>
      </c>
      <c r="B56" s="22" t="s">
        <v>65</v>
      </c>
      <c r="C56" s="22" t="s">
        <v>86</v>
      </c>
      <c r="D56" s="6" t="s">
        <v>87</v>
      </c>
      <c r="E56" s="10">
        <v>552</v>
      </c>
      <c r="F56" s="10">
        <v>1745</v>
      </c>
      <c r="G56" s="1"/>
      <c r="H56" s="1"/>
      <c r="I56" s="7">
        <f t="shared" si="0"/>
        <v>0</v>
      </c>
      <c r="J56" s="112">
        <f t="shared" si="9"/>
        <v>0</v>
      </c>
      <c r="K56" s="7">
        <v>0</v>
      </c>
      <c r="L56" s="18">
        <v>200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1">
        <f t="shared" si="11"/>
        <v>200</v>
      </c>
      <c r="T56" s="112">
        <f t="shared" si="10"/>
        <v>800</v>
      </c>
      <c r="U56" s="7">
        <f t="shared" si="2"/>
        <v>200</v>
      </c>
      <c r="V56" s="31">
        <f t="shared" si="3"/>
        <v>352</v>
      </c>
      <c r="W56" s="8">
        <f t="shared" si="4"/>
        <v>0.36231884057971014</v>
      </c>
      <c r="X56" s="8">
        <f t="shared" si="5"/>
        <v>0.6376811594202898</v>
      </c>
      <c r="Y56" s="8">
        <f t="shared" si="12"/>
        <v>0</v>
      </c>
      <c r="Z56" s="8">
        <f t="shared" si="7"/>
        <v>0</v>
      </c>
      <c r="AA56" s="8">
        <f t="shared" si="8"/>
        <v>0.36231884057971014</v>
      </c>
    </row>
    <row r="57" spans="1:27">
      <c r="A57" s="1">
        <v>54</v>
      </c>
      <c r="B57" s="22" t="s">
        <v>65</v>
      </c>
      <c r="C57" s="22" t="s">
        <v>69</v>
      </c>
      <c r="D57" s="6" t="s">
        <v>70</v>
      </c>
      <c r="E57" s="10">
        <v>1419</v>
      </c>
      <c r="F57" s="10">
        <v>4373</v>
      </c>
      <c r="G57" s="30">
        <v>920</v>
      </c>
      <c r="H57" s="1"/>
      <c r="I57" s="7">
        <f t="shared" si="0"/>
        <v>920</v>
      </c>
      <c r="J57" s="112">
        <f t="shared" si="9"/>
        <v>3680</v>
      </c>
      <c r="K57" s="7">
        <v>0</v>
      </c>
      <c r="L57" s="7">
        <v>15</v>
      </c>
      <c r="M57" s="7">
        <v>4</v>
      </c>
      <c r="N57" s="7">
        <v>9</v>
      </c>
      <c r="O57" s="95">
        <f>6+144</f>
        <v>150</v>
      </c>
      <c r="P57" s="7">
        <v>1</v>
      </c>
      <c r="Q57" s="7">
        <v>3</v>
      </c>
      <c r="R57" s="7">
        <v>0</v>
      </c>
      <c r="S57" s="1">
        <f t="shared" si="11"/>
        <v>182</v>
      </c>
      <c r="T57" s="112">
        <f t="shared" si="10"/>
        <v>728</v>
      </c>
      <c r="U57" s="7">
        <f t="shared" si="2"/>
        <v>1102</v>
      </c>
      <c r="V57" s="10">
        <f t="shared" si="3"/>
        <v>317</v>
      </c>
      <c r="W57" s="8">
        <f t="shared" si="4"/>
        <v>0.77660324171952078</v>
      </c>
      <c r="X57" s="8">
        <f t="shared" si="5"/>
        <v>0.22339675828047922</v>
      </c>
      <c r="Y57" s="8">
        <f t="shared" si="12"/>
        <v>0.6483439041578577</v>
      </c>
      <c r="Z57" s="8">
        <f t="shared" si="7"/>
        <v>0.6483439041578577</v>
      </c>
      <c r="AA57" s="8">
        <f t="shared" si="8"/>
        <v>0.12825933756166313</v>
      </c>
    </row>
    <row r="58" spans="1:27">
      <c r="A58" s="1">
        <v>55</v>
      </c>
      <c r="B58" s="22" t="s">
        <v>65</v>
      </c>
      <c r="C58" s="24" t="s">
        <v>226</v>
      </c>
      <c r="D58" s="6">
        <v>44866</v>
      </c>
      <c r="E58" s="10">
        <v>1318</v>
      </c>
      <c r="F58" s="10">
        <v>4129</v>
      </c>
      <c r="G58" s="30">
        <v>528</v>
      </c>
      <c r="H58" s="1"/>
      <c r="I58" s="7">
        <f t="shared" si="0"/>
        <v>528</v>
      </c>
      <c r="J58" s="112">
        <f t="shared" si="9"/>
        <v>2112</v>
      </c>
      <c r="K58" s="7">
        <v>0</v>
      </c>
      <c r="L58" s="7">
        <v>20</v>
      </c>
      <c r="M58" s="7">
        <v>0</v>
      </c>
      <c r="N58" s="7">
        <v>0</v>
      </c>
      <c r="O58" s="7">
        <v>1</v>
      </c>
      <c r="P58" s="7">
        <v>0</v>
      </c>
      <c r="Q58" s="7">
        <v>2</v>
      </c>
      <c r="R58" s="7">
        <v>4</v>
      </c>
      <c r="S58" s="1">
        <f t="shared" si="11"/>
        <v>27</v>
      </c>
      <c r="T58" s="112">
        <f t="shared" si="10"/>
        <v>108</v>
      </c>
      <c r="U58" s="7">
        <f t="shared" si="2"/>
        <v>555</v>
      </c>
      <c r="V58" s="10">
        <f t="shared" si="3"/>
        <v>763</v>
      </c>
      <c r="W58" s="8">
        <f t="shared" si="4"/>
        <v>0.421092564491654</v>
      </c>
      <c r="X58" s="8">
        <f t="shared" si="5"/>
        <v>0.578907435508346</v>
      </c>
      <c r="Y58" s="8">
        <f t="shared" si="12"/>
        <v>0.40060698027314112</v>
      </c>
      <c r="Z58" s="8">
        <f t="shared" si="7"/>
        <v>0.40060698027314112</v>
      </c>
      <c r="AA58" s="8">
        <f t="shared" si="8"/>
        <v>2.04855842185129E-2</v>
      </c>
    </row>
    <row r="59" spans="1:27">
      <c r="A59" s="1">
        <v>56</v>
      </c>
      <c r="B59" s="22" t="s">
        <v>65</v>
      </c>
      <c r="C59" s="22" t="s">
        <v>68</v>
      </c>
      <c r="D59" s="6" t="s">
        <v>64</v>
      </c>
      <c r="E59" s="10">
        <v>864</v>
      </c>
      <c r="F59" s="10">
        <v>2675</v>
      </c>
      <c r="G59" s="110">
        <v>352</v>
      </c>
      <c r="H59" s="1"/>
      <c r="I59" s="7">
        <f t="shared" si="0"/>
        <v>352</v>
      </c>
      <c r="J59" s="112">
        <f t="shared" si="9"/>
        <v>1408</v>
      </c>
      <c r="K59" s="7">
        <v>0</v>
      </c>
      <c r="L59" s="7">
        <v>101</v>
      </c>
      <c r="M59" s="7">
        <v>0</v>
      </c>
      <c r="N59" s="7">
        <v>0</v>
      </c>
      <c r="O59" s="7">
        <v>5</v>
      </c>
      <c r="P59" s="7">
        <v>0</v>
      </c>
      <c r="Q59" s="7">
        <v>1</v>
      </c>
      <c r="R59" s="7">
        <v>1</v>
      </c>
      <c r="S59" s="1">
        <f t="shared" si="11"/>
        <v>108</v>
      </c>
      <c r="T59" s="112">
        <f t="shared" si="10"/>
        <v>432</v>
      </c>
      <c r="U59" s="7">
        <f t="shared" si="2"/>
        <v>460</v>
      </c>
      <c r="V59" s="10">
        <f t="shared" si="3"/>
        <v>404</v>
      </c>
      <c r="W59" s="8">
        <f t="shared" si="4"/>
        <v>0.53240740740740744</v>
      </c>
      <c r="X59" s="8">
        <f t="shared" si="5"/>
        <v>0.46759259259259262</v>
      </c>
      <c r="Y59" s="8">
        <f t="shared" si="12"/>
        <v>0.40740740740740738</v>
      </c>
      <c r="Z59" s="8">
        <f t="shared" si="7"/>
        <v>0.40740740740740738</v>
      </c>
      <c r="AA59" s="8">
        <f t="shared" si="8"/>
        <v>0.125</v>
      </c>
    </row>
    <row r="60" spans="1:27">
      <c r="A60" s="1">
        <v>57</v>
      </c>
      <c r="B60" s="22" t="s">
        <v>65</v>
      </c>
      <c r="C60" s="22" t="s">
        <v>90</v>
      </c>
      <c r="D60" s="6">
        <v>44745</v>
      </c>
      <c r="E60" s="10">
        <v>483</v>
      </c>
      <c r="F60" s="10">
        <v>1510</v>
      </c>
      <c r="G60" s="33"/>
      <c r="H60" s="30">
        <v>145</v>
      </c>
      <c r="I60" s="7">
        <f t="shared" si="0"/>
        <v>145</v>
      </c>
      <c r="J60" s="112">
        <f t="shared" si="9"/>
        <v>580</v>
      </c>
      <c r="K60" s="7">
        <v>15</v>
      </c>
      <c r="L60" s="7">
        <v>116</v>
      </c>
      <c r="M60" s="7">
        <v>0</v>
      </c>
      <c r="N60" s="32">
        <v>180</v>
      </c>
      <c r="O60" s="95">
        <f>111-91</f>
        <v>20</v>
      </c>
      <c r="P60" s="7">
        <v>1</v>
      </c>
      <c r="Q60" s="7">
        <v>4</v>
      </c>
      <c r="R60" s="7">
        <v>2</v>
      </c>
      <c r="S60" s="1">
        <f t="shared" si="11"/>
        <v>338</v>
      </c>
      <c r="T60" s="112">
        <f t="shared" si="10"/>
        <v>1352</v>
      </c>
      <c r="U60" s="7">
        <f t="shared" si="2"/>
        <v>483</v>
      </c>
      <c r="V60" s="10">
        <f t="shared" si="3"/>
        <v>0</v>
      </c>
      <c r="W60" s="8">
        <f t="shared" si="4"/>
        <v>1</v>
      </c>
      <c r="X60" s="8">
        <f t="shared" si="5"/>
        <v>0</v>
      </c>
      <c r="Y60" s="8">
        <f t="shared" si="12"/>
        <v>0</v>
      </c>
      <c r="Z60" s="8">
        <f t="shared" si="7"/>
        <v>0.30020703933747411</v>
      </c>
      <c r="AA60" s="8">
        <f t="shared" si="8"/>
        <v>0.69979296066252583</v>
      </c>
    </row>
    <row r="61" spans="1:27">
      <c r="A61" s="1">
        <v>58</v>
      </c>
      <c r="B61" s="22" t="s">
        <v>65</v>
      </c>
      <c r="C61" s="22" t="s">
        <v>97</v>
      </c>
      <c r="D61" s="6">
        <v>44658</v>
      </c>
      <c r="E61" s="10">
        <v>600</v>
      </c>
      <c r="F61" s="10">
        <v>1727</v>
      </c>
      <c r="G61" s="1"/>
      <c r="H61" s="30">
        <v>50</v>
      </c>
      <c r="I61" s="7">
        <f t="shared" si="0"/>
        <v>50</v>
      </c>
      <c r="J61" s="112">
        <f t="shared" si="9"/>
        <v>200</v>
      </c>
      <c r="K61" s="7">
        <v>0</v>
      </c>
      <c r="L61" s="7">
        <v>310</v>
      </c>
      <c r="M61" s="7">
        <v>0</v>
      </c>
      <c r="N61" s="7">
        <v>0</v>
      </c>
      <c r="O61" s="95">
        <v>26</v>
      </c>
      <c r="P61" s="7">
        <v>3</v>
      </c>
      <c r="Q61" s="7">
        <v>3</v>
      </c>
      <c r="R61" s="7">
        <v>0</v>
      </c>
      <c r="S61" s="1">
        <f t="shared" si="11"/>
        <v>342</v>
      </c>
      <c r="T61" s="112">
        <f t="shared" si="10"/>
        <v>1368</v>
      </c>
      <c r="U61" s="7">
        <f t="shared" si="2"/>
        <v>392</v>
      </c>
      <c r="V61" s="10">
        <f t="shared" si="3"/>
        <v>208</v>
      </c>
      <c r="W61" s="8">
        <f t="shared" si="4"/>
        <v>0.65333333333333332</v>
      </c>
      <c r="X61" s="8">
        <f t="shared" si="5"/>
        <v>0.34666666666666668</v>
      </c>
      <c r="Y61" s="8">
        <f t="shared" si="12"/>
        <v>0</v>
      </c>
      <c r="Z61" s="8">
        <f t="shared" si="7"/>
        <v>8.3333333333333329E-2</v>
      </c>
      <c r="AA61" s="8">
        <f t="shared" si="8"/>
        <v>0.56999999999999995</v>
      </c>
    </row>
    <row r="62" spans="1:27">
      <c r="A62" s="1">
        <v>59</v>
      </c>
      <c r="B62" s="22" t="s">
        <v>65</v>
      </c>
      <c r="C62" s="22" t="s">
        <v>71</v>
      </c>
      <c r="D62" s="6">
        <v>44658</v>
      </c>
      <c r="E62" s="10">
        <v>1002</v>
      </c>
      <c r="F62" s="10">
        <v>3042</v>
      </c>
      <c r="G62" s="1"/>
      <c r="H62" s="30">
        <v>18</v>
      </c>
      <c r="I62" s="7">
        <f t="shared" si="0"/>
        <v>18</v>
      </c>
      <c r="J62" s="112">
        <f t="shared" si="9"/>
        <v>72</v>
      </c>
      <c r="K62" s="7">
        <v>0</v>
      </c>
      <c r="L62" s="7">
        <v>807</v>
      </c>
      <c r="M62" s="7">
        <v>0</v>
      </c>
      <c r="N62" s="7">
        <v>0</v>
      </c>
      <c r="O62" s="95">
        <f>59+111</f>
        <v>170</v>
      </c>
      <c r="P62" s="7">
        <v>0</v>
      </c>
      <c r="Q62" s="7">
        <v>0</v>
      </c>
      <c r="R62" s="7">
        <v>0</v>
      </c>
      <c r="S62" s="1">
        <f t="shared" si="11"/>
        <v>977</v>
      </c>
      <c r="T62" s="112">
        <f t="shared" si="10"/>
        <v>3908</v>
      </c>
      <c r="U62" s="7">
        <f t="shared" si="2"/>
        <v>995</v>
      </c>
      <c r="V62" s="10">
        <f t="shared" si="3"/>
        <v>7</v>
      </c>
      <c r="W62" s="8">
        <f t="shared" si="4"/>
        <v>0.99301397205588826</v>
      </c>
      <c r="X62" s="8">
        <f t="shared" si="5"/>
        <v>6.9860279441117763E-3</v>
      </c>
      <c r="Y62" s="8">
        <f t="shared" si="12"/>
        <v>0</v>
      </c>
      <c r="Z62" s="8">
        <f t="shared" si="7"/>
        <v>1.7964071856287425E-2</v>
      </c>
      <c r="AA62" s="8">
        <f t="shared" si="8"/>
        <v>0.97504990019960081</v>
      </c>
    </row>
    <row r="63" spans="1:27">
      <c r="A63" s="1">
        <v>60</v>
      </c>
      <c r="B63" s="22" t="s">
        <v>65</v>
      </c>
      <c r="C63" s="22" t="s">
        <v>73</v>
      </c>
      <c r="D63" s="6" t="s">
        <v>74</v>
      </c>
      <c r="E63" s="10">
        <v>290</v>
      </c>
      <c r="F63" s="10">
        <v>930</v>
      </c>
      <c r="G63" s="1"/>
      <c r="H63" s="1"/>
      <c r="I63" s="7">
        <f t="shared" si="0"/>
        <v>0</v>
      </c>
      <c r="J63" s="112">
        <f t="shared" si="9"/>
        <v>0</v>
      </c>
      <c r="K63" s="7">
        <v>30</v>
      </c>
      <c r="L63" s="7">
        <v>8</v>
      </c>
      <c r="M63" s="7">
        <v>0</v>
      </c>
      <c r="N63" s="7">
        <v>127</v>
      </c>
      <c r="O63" s="96">
        <f>50+170-95</f>
        <v>125</v>
      </c>
      <c r="P63" s="7">
        <v>0</v>
      </c>
      <c r="Q63" s="7">
        <v>0</v>
      </c>
      <c r="R63" s="7">
        <v>0</v>
      </c>
      <c r="S63" s="1">
        <f t="shared" si="11"/>
        <v>290</v>
      </c>
      <c r="T63" s="112">
        <f t="shared" si="10"/>
        <v>1160</v>
      </c>
      <c r="U63" s="7">
        <f t="shared" si="2"/>
        <v>290</v>
      </c>
      <c r="V63" s="31">
        <f t="shared" si="3"/>
        <v>0</v>
      </c>
      <c r="W63" s="8">
        <f t="shared" si="4"/>
        <v>1</v>
      </c>
      <c r="X63" s="8">
        <f t="shared" si="5"/>
        <v>0</v>
      </c>
      <c r="Y63" s="8">
        <f t="shared" si="12"/>
        <v>0</v>
      </c>
      <c r="Z63" s="8">
        <f t="shared" si="7"/>
        <v>0</v>
      </c>
      <c r="AA63" s="8">
        <f t="shared" si="8"/>
        <v>1</v>
      </c>
    </row>
    <row r="64" spans="1:27">
      <c r="A64" s="1">
        <v>61</v>
      </c>
      <c r="B64" s="22" t="s">
        <v>65</v>
      </c>
      <c r="C64" s="22" t="s">
        <v>92</v>
      </c>
      <c r="D64" s="6" t="s">
        <v>93</v>
      </c>
      <c r="E64" s="10">
        <v>289</v>
      </c>
      <c r="F64" s="10">
        <v>854</v>
      </c>
      <c r="G64" s="1"/>
      <c r="H64" s="30">
        <v>50</v>
      </c>
      <c r="I64" s="7">
        <f t="shared" si="0"/>
        <v>50</v>
      </c>
      <c r="J64" s="112">
        <f t="shared" si="9"/>
        <v>200</v>
      </c>
      <c r="K64" s="7">
        <v>0</v>
      </c>
      <c r="L64" s="7">
        <v>55</v>
      </c>
      <c r="M64" s="7">
        <v>0</v>
      </c>
      <c r="N64" s="7">
        <v>108</v>
      </c>
      <c r="O64" s="7">
        <v>1</v>
      </c>
      <c r="P64" s="7">
        <v>0</v>
      </c>
      <c r="Q64" s="7">
        <v>0</v>
      </c>
      <c r="R64" s="7">
        <v>0</v>
      </c>
      <c r="S64" s="1">
        <f t="shared" si="11"/>
        <v>164</v>
      </c>
      <c r="T64" s="112">
        <f t="shared" si="10"/>
        <v>656</v>
      </c>
      <c r="U64" s="7">
        <f t="shared" si="2"/>
        <v>214</v>
      </c>
      <c r="V64" s="10">
        <f t="shared" si="3"/>
        <v>75</v>
      </c>
      <c r="W64" s="8">
        <f t="shared" si="4"/>
        <v>0.74048442906574397</v>
      </c>
      <c r="X64" s="8">
        <f t="shared" si="5"/>
        <v>0.25951557093425603</v>
      </c>
      <c r="Y64" s="8">
        <f t="shared" si="12"/>
        <v>0</v>
      </c>
      <c r="Z64" s="8">
        <f t="shared" si="7"/>
        <v>0.17301038062283736</v>
      </c>
      <c r="AA64" s="8">
        <f t="shared" si="8"/>
        <v>0.56747404844290661</v>
      </c>
    </row>
    <row r="65" spans="1:27">
      <c r="A65" s="1">
        <v>62</v>
      </c>
      <c r="B65" s="22" t="s">
        <v>102</v>
      </c>
      <c r="C65" s="22" t="s">
        <v>110</v>
      </c>
      <c r="D65" s="6" t="s">
        <v>43</v>
      </c>
      <c r="E65" s="15">
        <v>488</v>
      </c>
      <c r="F65" s="15">
        <v>1439</v>
      </c>
      <c r="G65" s="1"/>
      <c r="H65" s="30">
        <v>245</v>
      </c>
      <c r="I65" s="1">
        <f t="shared" si="0"/>
        <v>245</v>
      </c>
      <c r="J65" s="112">
        <f t="shared" si="9"/>
        <v>980</v>
      </c>
      <c r="K65" s="7">
        <v>2</v>
      </c>
      <c r="L65" s="7">
        <v>150</v>
      </c>
      <c r="M65" s="7">
        <v>0</v>
      </c>
      <c r="N65" s="7">
        <v>1</v>
      </c>
      <c r="O65" s="7">
        <v>1</v>
      </c>
      <c r="P65" s="7">
        <v>1</v>
      </c>
      <c r="Q65" s="7">
        <v>0</v>
      </c>
      <c r="R65" s="7">
        <v>1</v>
      </c>
      <c r="S65" s="1">
        <f t="shared" si="11"/>
        <v>156</v>
      </c>
      <c r="T65" s="112">
        <f t="shared" si="10"/>
        <v>624</v>
      </c>
      <c r="U65" s="1">
        <f t="shared" si="2"/>
        <v>401</v>
      </c>
      <c r="V65" s="1">
        <f t="shared" si="3"/>
        <v>87</v>
      </c>
      <c r="W65" s="8">
        <f t="shared" si="4"/>
        <v>0.82172131147540983</v>
      </c>
      <c r="X65" s="8">
        <f t="shared" si="5"/>
        <v>0.17827868852459017</v>
      </c>
      <c r="Y65" s="8">
        <f t="shared" si="12"/>
        <v>0</v>
      </c>
      <c r="Z65" s="8">
        <f t="shared" si="7"/>
        <v>0.50204918032786883</v>
      </c>
      <c r="AA65" s="8">
        <f t="shared" si="8"/>
        <v>0.31967213114754101</v>
      </c>
    </row>
    <row r="66" spans="1:27">
      <c r="A66" s="1">
        <v>63</v>
      </c>
      <c r="B66" s="22" t="s">
        <v>102</v>
      </c>
      <c r="C66" s="23" t="s">
        <v>128</v>
      </c>
      <c r="D66" s="6">
        <v>44713</v>
      </c>
      <c r="E66" s="15">
        <v>259</v>
      </c>
      <c r="F66" s="15">
        <v>771</v>
      </c>
      <c r="G66" s="1"/>
      <c r="H66" s="30">
        <v>236</v>
      </c>
      <c r="I66" s="1">
        <f t="shared" si="0"/>
        <v>236</v>
      </c>
      <c r="J66" s="112">
        <f t="shared" si="9"/>
        <v>944</v>
      </c>
      <c r="K66" s="7">
        <v>1</v>
      </c>
      <c r="L66" s="18">
        <v>0</v>
      </c>
      <c r="M66" s="7">
        <v>0</v>
      </c>
      <c r="N66" s="7">
        <v>0</v>
      </c>
      <c r="O66" s="7">
        <v>4</v>
      </c>
      <c r="P66" s="7">
        <v>0</v>
      </c>
      <c r="Q66" s="7">
        <v>11</v>
      </c>
      <c r="R66" s="7">
        <v>1</v>
      </c>
      <c r="S66" s="1">
        <f t="shared" si="11"/>
        <v>17</v>
      </c>
      <c r="T66" s="112">
        <f t="shared" si="10"/>
        <v>68</v>
      </c>
      <c r="U66" s="1">
        <f t="shared" si="2"/>
        <v>253</v>
      </c>
      <c r="V66" s="30">
        <f t="shared" si="3"/>
        <v>6</v>
      </c>
      <c r="W66" s="8">
        <f t="shared" si="4"/>
        <v>0.97683397683397688</v>
      </c>
      <c r="X66" s="8">
        <f t="shared" si="5"/>
        <v>2.3166023166023165E-2</v>
      </c>
      <c r="Y66" s="8">
        <f t="shared" si="12"/>
        <v>0</v>
      </c>
      <c r="Z66" s="8">
        <f t="shared" si="7"/>
        <v>0.91119691119691115</v>
      </c>
      <c r="AA66" s="8">
        <f t="shared" si="8"/>
        <v>6.5637065637065631E-2</v>
      </c>
    </row>
    <row r="67" spans="1:27">
      <c r="A67" s="1">
        <v>64</v>
      </c>
      <c r="B67" s="22" t="s">
        <v>102</v>
      </c>
      <c r="C67" s="22" t="s">
        <v>121</v>
      </c>
      <c r="D67" s="6" t="s">
        <v>122</v>
      </c>
      <c r="E67" s="15">
        <v>65</v>
      </c>
      <c r="F67" s="15">
        <v>225</v>
      </c>
      <c r="G67" s="1"/>
      <c r="H67" s="1"/>
      <c r="I67" s="1">
        <f t="shared" si="0"/>
        <v>0</v>
      </c>
      <c r="J67" s="112">
        <f t="shared" si="9"/>
        <v>0</v>
      </c>
      <c r="K67" s="7">
        <v>0</v>
      </c>
      <c r="L67" s="7">
        <v>5</v>
      </c>
      <c r="M67" s="7">
        <v>0</v>
      </c>
      <c r="N67" s="7">
        <v>0</v>
      </c>
      <c r="O67" s="7">
        <v>50</v>
      </c>
      <c r="P67" s="7">
        <v>1</v>
      </c>
      <c r="Q67" s="7">
        <v>1</v>
      </c>
      <c r="R67" s="7">
        <v>1</v>
      </c>
      <c r="S67" s="1">
        <f t="shared" si="11"/>
        <v>58</v>
      </c>
      <c r="T67" s="112">
        <f t="shared" si="10"/>
        <v>232</v>
      </c>
      <c r="U67" s="1">
        <f t="shared" si="2"/>
        <v>58</v>
      </c>
      <c r="V67" s="1">
        <f t="shared" si="3"/>
        <v>7</v>
      </c>
      <c r="W67" s="8">
        <f t="shared" si="4"/>
        <v>0.89230769230769236</v>
      </c>
      <c r="X67" s="8">
        <f t="shared" si="5"/>
        <v>0.1076923076923077</v>
      </c>
      <c r="Y67" s="8">
        <f t="shared" si="12"/>
        <v>0</v>
      </c>
      <c r="Z67" s="8">
        <f t="shared" si="7"/>
        <v>0</v>
      </c>
      <c r="AA67" s="8">
        <f t="shared" si="8"/>
        <v>0.89230769230769236</v>
      </c>
    </row>
    <row r="68" spans="1:27">
      <c r="A68" s="1">
        <v>65</v>
      </c>
      <c r="B68" s="22" t="s">
        <v>102</v>
      </c>
      <c r="C68" s="22" t="s">
        <v>102</v>
      </c>
      <c r="D68" s="6"/>
      <c r="E68" s="15">
        <v>1791</v>
      </c>
      <c r="F68" s="15">
        <v>5589</v>
      </c>
      <c r="G68" s="110">
        <v>1007</v>
      </c>
      <c r="H68" s="1"/>
      <c r="I68" s="1">
        <f t="shared" ref="I68:I124" si="13">H68+G68</f>
        <v>1007</v>
      </c>
      <c r="J68" s="112">
        <f t="shared" si="9"/>
        <v>4028</v>
      </c>
      <c r="K68" s="15">
        <v>0</v>
      </c>
      <c r="L68" s="15">
        <v>0</v>
      </c>
      <c r="M68" s="15">
        <v>0</v>
      </c>
      <c r="N68" s="15">
        <v>0</v>
      </c>
      <c r="O68" s="97">
        <v>66</v>
      </c>
      <c r="P68" s="15">
        <v>0</v>
      </c>
      <c r="Q68" s="15">
        <v>0</v>
      </c>
      <c r="R68" s="15">
        <v>0</v>
      </c>
      <c r="S68" s="1">
        <f t="shared" si="11"/>
        <v>66</v>
      </c>
      <c r="T68" s="112">
        <f t="shared" si="10"/>
        <v>264</v>
      </c>
      <c r="U68" s="1">
        <f t="shared" ref="U68:U131" si="14">S68+I68</f>
        <v>1073</v>
      </c>
      <c r="V68" s="1">
        <f t="shared" ref="V68:V131" si="15">E68-U68</f>
        <v>718</v>
      </c>
      <c r="W68" s="8">
        <f t="shared" ref="W68:W131" si="16">U68/E68</f>
        <v>0.59910664433277494</v>
      </c>
      <c r="X68" s="8">
        <f t="shared" ref="X68:X131" si="17">V68/E68</f>
        <v>0.400893355667225</v>
      </c>
      <c r="Y68" s="8">
        <f t="shared" si="12"/>
        <v>0.56225572305974314</v>
      </c>
      <c r="Z68" s="8">
        <f t="shared" ref="Z68:Z131" si="18">I68/E68</f>
        <v>0.56225572305974314</v>
      </c>
      <c r="AA68" s="8">
        <f t="shared" ref="AA68:AA131" si="19">S68/E68</f>
        <v>3.6850921273031828E-2</v>
      </c>
    </row>
    <row r="69" spans="1:27">
      <c r="A69" s="1">
        <v>66</v>
      </c>
      <c r="B69" s="22" t="s">
        <v>102</v>
      </c>
      <c r="C69" s="22" t="s">
        <v>126</v>
      </c>
      <c r="D69" s="6" t="s">
        <v>127</v>
      </c>
      <c r="E69" s="15">
        <v>489</v>
      </c>
      <c r="F69" s="15">
        <v>1440</v>
      </c>
      <c r="G69" s="1"/>
      <c r="H69" s="1"/>
      <c r="I69" s="1">
        <f t="shared" si="13"/>
        <v>0</v>
      </c>
      <c r="J69" s="112">
        <f t="shared" ref="J69:J132" si="20">I69*4</f>
        <v>0</v>
      </c>
      <c r="K69" s="32">
        <v>28</v>
      </c>
      <c r="L69" s="7">
        <f>217</f>
        <v>217</v>
      </c>
      <c r="M69" s="7">
        <v>0</v>
      </c>
      <c r="N69" s="7">
        <v>0</v>
      </c>
      <c r="O69" s="7">
        <v>0</v>
      </c>
      <c r="P69" s="7">
        <v>4</v>
      </c>
      <c r="Q69" s="7">
        <v>2</v>
      </c>
      <c r="R69" s="7">
        <v>0</v>
      </c>
      <c r="S69" s="1">
        <f t="shared" si="11"/>
        <v>251</v>
      </c>
      <c r="T69" s="112">
        <f t="shared" ref="T69:T132" si="21">S69*4</f>
        <v>1004</v>
      </c>
      <c r="U69" s="1">
        <f t="shared" si="14"/>
        <v>251</v>
      </c>
      <c r="V69" s="1">
        <f t="shared" si="15"/>
        <v>238</v>
      </c>
      <c r="W69" s="8">
        <f t="shared" si="16"/>
        <v>0.51329243353783227</v>
      </c>
      <c r="X69" s="8">
        <f t="shared" si="17"/>
        <v>0.48670756646216767</v>
      </c>
      <c r="Y69" s="8">
        <f t="shared" si="12"/>
        <v>0</v>
      </c>
      <c r="Z69" s="8">
        <f t="shared" si="18"/>
        <v>0</v>
      </c>
      <c r="AA69" s="8">
        <f t="shared" si="19"/>
        <v>0.51329243353783227</v>
      </c>
    </row>
    <row r="70" spans="1:27">
      <c r="A70" s="1">
        <v>67</v>
      </c>
      <c r="B70" s="22" t="s">
        <v>102</v>
      </c>
      <c r="C70" s="23" t="s">
        <v>123</v>
      </c>
      <c r="D70" s="6">
        <v>44745</v>
      </c>
      <c r="E70" s="15">
        <v>298</v>
      </c>
      <c r="F70" s="15">
        <v>858</v>
      </c>
      <c r="G70" s="1"/>
      <c r="H70" s="1"/>
      <c r="I70" s="1">
        <f t="shared" si="13"/>
        <v>0</v>
      </c>
      <c r="J70" s="112">
        <f t="shared" si="20"/>
        <v>0</v>
      </c>
      <c r="K70" s="32">
        <f>15+20</f>
        <v>35</v>
      </c>
      <c r="L70" s="7">
        <v>0</v>
      </c>
      <c r="M70" s="7">
        <v>0</v>
      </c>
      <c r="N70" s="7">
        <v>0</v>
      </c>
      <c r="O70" s="7">
        <v>0</v>
      </c>
      <c r="P70" s="7">
        <v>1</v>
      </c>
      <c r="Q70" s="7">
        <v>0</v>
      </c>
      <c r="R70" s="7">
        <v>0</v>
      </c>
      <c r="S70" s="1">
        <f t="shared" si="11"/>
        <v>36</v>
      </c>
      <c r="T70" s="112">
        <f t="shared" si="21"/>
        <v>144</v>
      </c>
      <c r="U70" s="1">
        <f t="shared" si="14"/>
        <v>36</v>
      </c>
      <c r="V70" s="1">
        <f t="shared" si="15"/>
        <v>262</v>
      </c>
      <c r="W70" s="8">
        <f t="shared" si="16"/>
        <v>0.12080536912751678</v>
      </c>
      <c r="X70" s="8">
        <f t="shared" si="17"/>
        <v>0.87919463087248317</v>
      </c>
      <c r="Y70" s="8">
        <f t="shared" si="12"/>
        <v>0</v>
      </c>
      <c r="Z70" s="8">
        <f t="shared" si="18"/>
        <v>0</v>
      </c>
      <c r="AA70" s="8">
        <f t="shared" si="19"/>
        <v>0.12080536912751678</v>
      </c>
    </row>
    <row r="71" spans="1:27">
      <c r="A71" s="1">
        <v>68</v>
      </c>
      <c r="B71" s="22" t="s">
        <v>102</v>
      </c>
      <c r="C71" s="22" t="s">
        <v>111</v>
      </c>
      <c r="D71" s="6" t="s">
        <v>93</v>
      </c>
      <c r="E71" s="15">
        <v>1283</v>
      </c>
      <c r="F71" s="15">
        <v>3825</v>
      </c>
      <c r="G71" s="1"/>
      <c r="H71" s="1"/>
      <c r="I71" s="1">
        <f t="shared" si="13"/>
        <v>0</v>
      </c>
      <c r="J71" s="112">
        <f t="shared" si="20"/>
        <v>0</v>
      </c>
      <c r="K71" s="7">
        <v>0</v>
      </c>
      <c r="L71" s="7">
        <v>500</v>
      </c>
      <c r="M71" s="7">
        <v>0</v>
      </c>
      <c r="N71" s="7">
        <v>500</v>
      </c>
      <c r="O71" s="95">
        <v>83</v>
      </c>
      <c r="P71" s="7">
        <v>2</v>
      </c>
      <c r="Q71" s="7">
        <v>5</v>
      </c>
      <c r="R71" s="7">
        <v>0</v>
      </c>
      <c r="S71" s="1">
        <f t="shared" si="11"/>
        <v>1090</v>
      </c>
      <c r="T71" s="112">
        <f t="shared" si="21"/>
        <v>4360</v>
      </c>
      <c r="U71" s="1">
        <f t="shared" si="14"/>
        <v>1090</v>
      </c>
      <c r="V71" s="1">
        <f t="shared" si="15"/>
        <v>193</v>
      </c>
      <c r="W71" s="8">
        <f t="shared" si="16"/>
        <v>0.84957131722525336</v>
      </c>
      <c r="X71" s="8">
        <f t="shared" si="17"/>
        <v>0.15042868277474669</v>
      </c>
      <c r="Y71" s="8">
        <f t="shared" si="12"/>
        <v>0</v>
      </c>
      <c r="Z71" s="8">
        <f t="shared" si="18"/>
        <v>0</v>
      </c>
      <c r="AA71" s="8">
        <f t="shared" si="19"/>
        <v>0.84957131722525336</v>
      </c>
    </row>
    <row r="72" spans="1:27">
      <c r="A72" s="1">
        <v>69</v>
      </c>
      <c r="B72" s="22" t="s">
        <v>102</v>
      </c>
      <c r="C72" s="23" t="s">
        <v>113</v>
      </c>
      <c r="D72" s="6" t="s">
        <v>87</v>
      </c>
      <c r="E72" s="15">
        <v>246</v>
      </c>
      <c r="F72" s="15">
        <v>771</v>
      </c>
      <c r="G72" s="1"/>
      <c r="H72" s="1"/>
      <c r="I72" s="1">
        <f t="shared" si="13"/>
        <v>0</v>
      </c>
      <c r="J72" s="112">
        <f t="shared" si="20"/>
        <v>0</v>
      </c>
      <c r="K72" s="7">
        <v>0</v>
      </c>
      <c r="L72" s="7">
        <v>0</v>
      </c>
      <c r="M72" s="7">
        <v>0</v>
      </c>
      <c r="N72" s="7">
        <v>0</v>
      </c>
      <c r="O72" s="95">
        <f>1+60</f>
        <v>61</v>
      </c>
      <c r="P72" s="7">
        <v>1</v>
      </c>
      <c r="Q72" s="7">
        <v>1</v>
      </c>
      <c r="R72" s="7">
        <v>1</v>
      </c>
      <c r="S72" s="1">
        <f t="shared" si="11"/>
        <v>64</v>
      </c>
      <c r="T72" s="112">
        <f t="shared" si="21"/>
        <v>256</v>
      </c>
      <c r="U72" s="1">
        <f t="shared" si="14"/>
        <v>64</v>
      </c>
      <c r="V72" s="1">
        <f t="shared" si="15"/>
        <v>182</v>
      </c>
      <c r="W72" s="8">
        <f t="shared" si="16"/>
        <v>0.26016260162601629</v>
      </c>
      <c r="X72" s="8">
        <f t="shared" si="17"/>
        <v>0.73983739837398377</v>
      </c>
      <c r="Y72" s="8">
        <f t="shared" si="12"/>
        <v>0</v>
      </c>
      <c r="Z72" s="8">
        <f t="shared" si="18"/>
        <v>0</v>
      </c>
      <c r="AA72" s="8">
        <f t="shared" si="19"/>
        <v>0.26016260162601629</v>
      </c>
    </row>
    <row r="73" spans="1:27">
      <c r="A73" s="1">
        <v>70</v>
      </c>
      <c r="B73" s="22" t="s">
        <v>102</v>
      </c>
      <c r="C73" s="22" t="s">
        <v>114</v>
      </c>
      <c r="D73" s="6">
        <v>44780</v>
      </c>
      <c r="E73" s="15">
        <v>305</v>
      </c>
      <c r="F73" s="15">
        <v>984</v>
      </c>
      <c r="G73" s="1"/>
      <c r="H73" s="30">
        <v>193</v>
      </c>
      <c r="I73" s="1">
        <f t="shared" si="13"/>
        <v>193</v>
      </c>
      <c r="J73" s="112">
        <f t="shared" si="20"/>
        <v>772</v>
      </c>
      <c r="K73" s="7">
        <v>1</v>
      </c>
      <c r="L73" s="18">
        <v>100</v>
      </c>
      <c r="M73" s="7">
        <v>0</v>
      </c>
      <c r="N73" s="7">
        <v>2</v>
      </c>
      <c r="O73" s="7">
        <v>0</v>
      </c>
      <c r="P73" s="7">
        <v>5</v>
      </c>
      <c r="Q73" s="7">
        <v>0</v>
      </c>
      <c r="R73" s="7">
        <v>0</v>
      </c>
      <c r="S73" s="1">
        <f t="shared" si="11"/>
        <v>108</v>
      </c>
      <c r="T73" s="112">
        <f t="shared" si="21"/>
        <v>432</v>
      </c>
      <c r="U73" s="1">
        <f t="shared" si="14"/>
        <v>301</v>
      </c>
      <c r="V73" s="30">
        <f t="shared" si="15"/>
        <v>4</v>
      </c>
      <c r="W73" s="8">
        <f t="shared" si="16"/>
        <v>0.9868852459016394</v>
      </c>
      <c r="X73" s="8">
        <f t="shared" si="17"/>
        <v>1.3114754098360656E-2</v>
      </c>
      <c r="Y73" s="8">
        <f t="shared" si="12"/>
        <v>0</v>
      </c>
      <c r="Z73" s="8">
        <f t="shared" si="18"/>
        <v>0.63278688524590165</v>
      </c>
      <c r="AA73" s="8">
        <f t="shared" si="19"/>
        <v>0.35409836065573769</v>
      </c>
    </row>
    <row r="74" spans="1:27">
      <c r="A74" s="1">
        <v>71</v>
      </c>
      <c r="B74" s="22" t="s">
        <v>102</v>
      </c>
      <c r="C74" s="22" t="s">
        <v>112</v>
      </c>
      <c r="D74" s="6">
        <v>44594</v>
      </c>
      <c r="E74" s="15">
        <v>341</v>
      </c>
      <c r="F74" s="15">
        <v>998</v>
      </c>
      <c r="G74" s="1"/>
      <c r="H74" s="30">
        <v>256</v>
      </c>
      <c r="I74" s="1">
        <f t="shared" si="13"/>
        <v>256</v>
      </c>
      <c r="J74" s="112">
        <f t="shared" si="20"/>
        <v>1024</v>
      </c>
      <c r="K74" s="7">
        <v>0</v>
      </c>
      <c r="L74" s="18">
        <v>60</v>
      </c>
      <c r="M74" s="7">
        <v>9</v>
      </c>
      <c r="N74" s="7">
        <v>0</v>
      </c>
      <c r="O74" s="7">
        <v>0</v>
      </c>
      <c r="P74" s="7">
        <v>6</v>
      </c>
      <c r="Q74" s="7">
        <v>0</v>
      </c>
      <c r="R74" s="7">
        <v>1</v>
      </c>
      <c r="S74" s="1">
        <f t="shared" si="11"/>
        <v>76</v>
      </c>
      <c r="T74" s="112">
        <f t="shared" si="21"/>
        <v>304</v>
      </c>
      <c r="U74" s="1">
        <f t="shared" si="14"/>
        <v>332</v>
      </c>
      <c r="V74" s="30">
        <f t="shared" si="15"/>
        <v>9</v>
      </c>
      <c r="W74" s="8">
        <f t="shared" si="16"/>
        <v>0.97360703812316718</v>
      </c>
      <c r="X74" s="8">
        <f t="shared" si="17"/>
        <v>2.6392961876832845E-2</v>
      </c>
      <c r="Y74" s="8">
        <f t="shared" si="12"/>
        <v>0</v>
      </c>
      <c r="Z74" s="8">
        <f t="shared" si="18"/>
        <v>0.75073313782991202</v>
      </c>
      <c r="AA74" s="8">
        <f t="shared" si="19"/>
        <v>0.22287390029325513</v>
      </c>
    </row>
    <row r="75" spans="1:27">
      <c r="A75" s="1">
        <v>72</v>
      </c>
      <c r="B75" s="22" t="s">
        <v>102</v>
      </c>
      <c r="C75" s="23" t="s">
        <v>109</v>
      </c>
      <c r="D75" s="6" t="s">
        <v>63</v>
      </c>
      <c r="E75" s="15">
        <v>268</v>
      </c>
      <c r="F75" s="15">
        <v>764</v>
      </c>
      <c r="G75" s="1"/>
      <c r="H75" s="30">
        <v>60</v>
      </c>
      <c r="I75" s="1">
        <f t="shared" si="13"/>
        <v>60</v>
      </c>
      <c r="J75" s="112">
        <f t="shared" si="20"/>
        <v>240</v>
      </c>
      <c r="K75" s="7">
        <v>1</v>
      </c>
      <c r="L75" s="7">
        <v>0</v>
      </c>
      <c r="M75" s="7">
        <v>0</v>
      </c>
      <c r="N75" s="7">
        <v>100</v>
      </c>
      <c r="O75" s="7">
        <v>0</v>
      </c>
      <c r="P75" s="7">
        <v>0</v>
      </c>
      <c r="Q75" s="7">
        <v>0</v>
      </c>
      <c r="R75" s="7">
        <v>1</v>
      </c>
      <c r="S75" s="1">
        <f t="shared" si="11"/>
        <v>102</v>
      </c>
      <c r="T75" s="112">
        <f t="shared" si="21"/>
        <v>408</v>
      </c>
      <c r="U75" s="1">
        <f t="shared" si="14"/>
        <v>162</v>
      </c>
      <c r="V75" s="1">
        <f t="shared" si="15"/>
        <v>106</v>
      </c>
      <c r="W75" s="8">
        <f t="shared" si="16"/>
        <v>0.60447761194029848</v>
      </c>
      <c r="X75" s="8">
        <f t="shared" si="17"/>
        <v>0.39552238805970147</v>
      </c>
      <c r="Y75" s="8">
        <f t="shared" si="12"/>
        <v>0</v>
      </c>
      <c r="Z75" s="8">
        <f t="shared" si="18"/>
        <v>0.22388059701492538</v>
      </c>
      <c r="AA75" s="8">
        <f t="shared" si="19"/>
        <v>0.38059701492537312</v>
      </c>
    </row>
    <row r="76" spans="1:27">
      <c r="A76" s="1">
        <v>73</v>
      </c>
      <c r="B76" s="22" t="s">
        <v>102</v>
      </c>
      <c r="C76" s="22" t="s">
        <v>119</v>
      </c>
      <c r="D76" s="6" t="s">
        <v>120</v>
      </c>
      <c r="E76" s="15">
        <v>207</v>
      </c>
      <c r="F76" s="15">
        <v>658</v>
      </c>
      <c r="G76" s="1"/>
      <c r="H76" s="1"/>
      <c r="I76" s="1">
        <f t="shared" si="13"/>
        <v>0</v>
      </c>
      <c r="J76" s="112">
        <f t="shared" si="20"/>
        <v>0</v>
      </c>
      <c r="K76" s="7">
        <v>4</v>
      </c>
      <c r="L76" s="7">
        <v>0</v>
      </c>
      <c r="M76" s="7">
        <v>0</v>
      </c>
      <c r="N76" s="18">
        <v>0</v>
      </c>
      <c r="O76" s="7">
        <v>200</v>
      </c>
      <c r="P76" s="7">
        <v>0</v>
      </c>
      <c r="Q76" s="7">
        <v>0</v>
      </c>
      <c r="R76" s="7">
        <v>0</v>
      </c>
      <c r="S76" s="1">
        <f t="shared" si="11"/>
        <v>204</v>
      </c>
      <c r="T76" s="112">
        <f t="shared" si="21"/>
        <v>816</v>
      </c>
      <c r="U76" s="1">
        <f t="shared" si="14"/>
        <v>204</v>
      </c>
      <c r="V76" s="30">
        <f t="shared" si="15"/>
        <v>3</v>
      </c>
      <c r="W76" s="8">
        <f t="shared" si="16"/>
        <v>0.98550724637681164</v>
      </c>
      <c r="X76" s="8">
        <f t="shared" si="17"/>
        <v>1.4492753623188406E-2</v>
      </c>
      <c r="Y76" s="8">
        <f t="shared" si="12"/>
        <v>0</v>
      </c>
      <c r="Z76" s="8">
        <f t="shared" si="18"/>
        <v>0</v>
      </c>
      <c r="AA76" s="8">
        <f t="shared" si="19"/>
        <v>0.98550724637681164</v>
      </c>
    </row>
    <row r="77" spans="1:27">
      <c r="A77" s="1">
        <v>74</v>
      </c>
      <c r="B77" s="22" t="s">
        <v>102</v>
      </c>
      <c r="C77" s="22" t="s">
        <v>116</v>
      </c>
      <c r="D77" s="6">
        <v>44690</v>
      </c>
      <c r="E77" s="15">
        <v>189</v>
      </c>
      <c r="F77" s="15">
        <v>607</v>
      </c>
      <c r="G77" s="1"/>
      <c r="H77" s="30">
        <v>100</v>
      </c>
      <c r="I77" s="1">
        <f t="shared" si="13"/>
        <v>100</v>
      </c>
      <c r="J77" s="112">
        <f t="shared" si="20"/>
        <v>400</v>
      </c>
      <c r="K77" s="7">
        <v>0</v>
      </c>
      <c r="L77" s="7">
        <v>53</v>
      </c>
      <c r="M77" s="7">
        <v>0</v>
      </c>
      <c r="N77" s="7">
        <v>12</v>
      </c>
      <c r="O77" s="7">
        <v>0</v>
      </c>
      <c r="P77" s="7">
        <v>1</v>
      </c>
      <c r="Q77" s="7">
        <v>1</v>
      </c>
      <c r="R77" s="7">
        <v>1</v>
      </c>
      <c r="S77" s="1">
        <f t="shared" si="11"/>
        <v>68</v>
      </c>
      <c r="T77" s="112">
        <f t="shared" si="21"/>
        <v>272</v>
      </c>
      <c r="U77" s="1">
        <f t="shared" si="14"/>
        <v>168</v>
      </c>
      <c r="V77" s="1">
        <f t="shared" si="15"/>
        <v>21</v>
      </c>
      <c r="W77" s="8">
        <f t="shared" si="16"/>
        <v>0.88888888888888884</v>
      </c>
      <c r="X77" s="8">
        <f t="shared" si="17"/>
        <v>0.1111111111111111</v>
      </c>
      <c r="Y77" s="8">
        <f t="shared" si="12"/>
        <v>0</v>
      </c>
      <c r="Z77" s="8">
        <f t="shared" si="18"/>
        <v>0.52910052910052907</v>
      </c>
      <c r="AA77" s="8">
        <f t="shared" si="19"/>
        <v>0.35978835978835977</v>
      </c>
    </row>
    <row r="78" spans="1:27">
      <c r="A78" s="1">
        <v>75</v>
      </c>
      <c r="B78" s="22" t="s">
        <v>102</v>
      </c>
      <c r="C78" s="23" t="s">
        <v>103</v>
      </c>
      <c r="D78" s="6" t="s">
        <v>61</v>
      </c>
      <c r="E78" s="15">
        <v>691</v>
      </c>
      <c r="F78" s="15">
        <v>2367</v>
      </c>
      <c r="G78" s="1"/>
      <c r="H78" s="1"/>
      <c r="I78" s="1">
        <f t="shared" si="13"/>
        <v>0</v>
      </c>
      <c r="J78" s="112">
        <f t="shared" si="20"/>
        <v>0</v>
      </c>
      <c r="K78" s="7">
        <v>34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4</v>
      </c>
      <c r="S78" s="1">
        <f t="shared" si="11"/>
        <v>38</v>
      </c>
      <c r="T78" s="112">
        <f t="shared" si="21"/>
        <v>152</v>
      </c>
      <c r="U78" s="1">
        <f t="shared" si="14"/>
        <v>38</v>
      </c>
      <c r="V78" s="1">
        <f t="shared" si="15"/>
        <v>653</v>
      </c>
      <c r="W78" s="8">
        <f t="shared" si="16"/>
        <v>5.4992764109985527E-2</v>
      </c>
      <c r="X78" s="8">
        <f t="shared" si="17"/>
        <v>0.94500723589001445</v>
      </c>
      <c r="Y78" s="8">
        <f t="shared" si="12"/>
        <v>0</v>
      </c>
      <c r="Z78" s="8">
        <f t="shared" si="18"/>
        <v>0</v>
      </c>
      <c r="AA78" s="8">
        <f t="shared" si="19"/>
        <v>5.4992764109985527E-2</v>
      </c>
    </row>
    <row r="79" spans="1:27">
      <c r="A79" s="1">
        <v>76</v>
      </c>
      <c r="B79" s="22" t="s">
        <v>102</v>
      </c>
      <c r="C79" s="23" t="s">
        <v>130</v>
      </c>
      <c r="D79" s="6"/>
      <c r="E79" s="15">
        <v>274</v>
      </c>
      <c r="F79" s="15">
        <v>847</v>
      </c>
      <c r="G79" s="1"/>
      <c r="H79" s="1"/>
      <c r="I79" s="1">
        <f t="shared" si="13"/>
        <v>0</v>
      </c>
      <c r="J79" s="112">
        <f t="shared" si="20"/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">
        <f t="shared" si="11"/>
        <v>0</v>
      </c>
      <c r="T79" s="112">
        <f t="shared" si="21"/>
        <v>0</v>
      </c>
      <c r="U79" s="1">
        <f t="shared" si="14"/>
        <v>0</v>
      </c>
      <c r="V79" s="1">
        <f t="shared" si="15"/>
        <v>274</v>
      </c>
      <c r="W79" s="8">
        <f t="shared" si="16"/>
        <v>0</v>
      </c>
      <c r="X79" s="8">
        <f t="shared" si="17"/>
        <v>1</v>
      </c>
      <c r="Y79" s="8">
        <f t="shared" si="12"/>
        <v>0</v>
      </c>
      <c r="Z79" s="8">
        <f t="shared" si="18"/>
        <v>0</v>
      </c>
      <c r="AA79" s="8">
        <f t="shared" si="19"/>
        <v>0</v>
      </c>
    </row>
    <row r="80" spans="1:27">
      <c r="A80" s="1">
        <v>77</v>
      </c>
      <c r="B80" s="22" t="s">
        <v>102</v>
      </c>
      <c r="C80" s="22" t="s">
        <v>115</v>
      </c>
      <c r="D80" s="6">
        <v>44744</v>
      </c>
      <c r="E80" s="15">
        <v>235</v>
      </c>
      <c r="F80" s="15">
        <v>745</v>
      </c>
      <c r="G80" s="1"/>
      <c r="H80" s="30">
        <v>119</v>
      </c>
      <c r="I80" s="1">
        <f t="shared" si="13"/>
        <v>119</v>
      </c>
      <c r="J80" s="112">
        <f t="shared" si="20"/>
        <v>476</v>
      </c>
      <c r="K80" s="7">
        <v>1</v>
      </c>
      <c r="L80" s="7">
        <v>0</v>
      </c>
      <c r="M80" s="7">
        <v>0</v>
      </c>
      <c r="N80" s="7">
        <v>1</v>
      </c>
      <c r="O80" s="7">
        <v>0</v>
      </c>
      <c r="P80" s="7">
        <v>1</v>
      </c>
      <c r="Q80" s="7">
        <v>1</v>
      </c>
      <c r="R80" s="7">
        <v>1</v>
      </c>
      <c r="S80" s="1">
        <f t="shared" si="11"/>
        <v>5</v>
      </c>
      <c r="T80" s="112">
        <f t="shared" si="21"/>
        <v>20</v>
      </c>
      <c r="U80" s="1">
        <f t="shared" si="14"/>
        <v>124</v>
      </c>
      <c r="V80" s="1">
        <f t="shared" si="15"/>
        <v>111</v>
      </c>
      <c r="W80" s="8">
        <f t="shared" si="16"/>
        <v>0.52765957446808509</v>
      </c>
      <c r="X80" s="8">
        <f t="shared" si="17"/>
        <v>0.47234042553191491</v>
      </c>
      <c r="Y80" s="8">
        <f t="shared" si="12"/>
        <v>0</v>
      </c>
      <c r="Z80" s="8">
        <f t="shared" si="18"/>
        <v>0.50638297872340421</v>
      </c>
      <c r="AA80" s="8">
        <f t="shared" si="19"/>
        <v>2.1276595744680851E-2</v>
      </c>
    </row>
    <row r="81" spans="1:27">
      <c r="A81" s="1">
        <v>78</v>
      </c>
      <c r="B81" s="22" t="s">
        <v>102</v>
      </c>
      <c r="C81" s="22" t="s">
        <v>117</v>
      </c>
      <c r="D81" s="6">
        <v>44233</v>
      </c>
      <c r="E81" s="15">
        <v>89</v>
      </c>
      <c r="F81" s="15">
        <v>277</v>
      </c>
      <c r="G81" s="1"/>
      <c r="H81" s="1"/>
      <c r="I81" s="1">
        <f t="shared" si="13"/>
        <v>0</v>
      </c>
      <c r="J81" s="112">
        <f t="shared" si="20"/>
        <v>0</v>
      </c>
      <c r="K81" s="7">
        <v>0</v>
      </c>
      <c r="L81" s="7">
        <v>5</v>
      </c>
      <c r="M81" s="7">
        <v>0</v>
      </c>
      <c r="N81" s="7">
        <v>50</v>
      </c>
      <c r="O81" s="7">
        <v>0</v>
      </c>
      <c r="P81" s="7">
        <v>0</v>
      </c>
      <c r="Q81" s="7">
        <v>0</v>
      </c>
      <c r="R81" s="7">
        <v>1</v>
      </c>
      <c r="S81" s="1">
        <f t="shared" si="11"/>
        <v>56</v>
      </c>
      <c r="T81" s="112">
        <f t="shared" si="21"/>
        <v>224</v>
      </c>
      <c r="U81" s="1">
        <f t="shared" si="14"/>
        <v>56</v>
      </c>
      <c r="V81" s="1">
        <f t="shared" si="15"/>
        <v>33</v>
      </c>
      <c r="W81" s="8">
        <f t="shared" si="16"/>
        <v>0.6292134831460674</v>
      </c>
      <c r="X81" s="8">
        <f t="shared" si="17"/>
        <v>0.3707865168539326</v>
      </c>
      <c r="Y81" s="8">
        <f t="shared" si="12"/>
        <v>0</v>
      </c>
      <c r="Z81" s="8">
        <f t="shared" si="18"/>
        <v>0</v>
      </c>
      <c r="AA81" s="8">
        <f t="shared" si="19"/>
        <v>0.6292134831460674</v>
      </c>
    </row>
    <row r="82" spans="1:27">
      <c r="A82" s="1">
        <v>79</v>
      </c>
      <c r="B82" s="22" t="s">
        <v>102</v>
      </c>
      <c r="C82" s="22" t="s">
        <v>124</v>
      </c>
      <c r="D82" s="6" t="s">
        <v>125</v>
      </c>
      <c r="E82" s="15">
        <v>264</v>
      </c>
      <c r="F82" s="15">
        <v>954</v>
      </c>
      <c r="G82" s="1"/>
      <c r="H82" s="1"/>
      <c r="I82" s="1">
        <f t="shared" si="13"/>
        <v>0</v>
      </c>
      <c r="J82" s="112">
        <f t="shared" si="20"/>
        <v>0</v>
      </c>
      <c r="K82" s="7">
        <v>0</v>
      </c>
      <c r="L82" s="7">
        <v>0</v>
      </c>
      <c r="M82" s="7">
        <v>0</v>
      </c>
      <c r="N82" s="7">
        <v>215</v>
      </c>
      <c r="O82" s="7">
        <v>0</v>
      </c>
      <c r="P82" s="7">
        <v>0</v>
      </c>
      <c r="Q82" s="7">
        <v>0</v>
      </c>
      <c r="R82" s="7">
        <v>0</v>
      </c>
      <c r="S82" s="1">
        <f t="shared" ref="S82:S145" si="22">SUM(K82:R82)</f>
        <v>215</v>
      </c>
      <c r="T82" s="112">
        <f t="shared" si="21"/>
        <v>860</v>
      </c>
      <c r="U82" s="1">
        <f t="shared" si="14"/>
        <v>215</v>
      </c>
      <c r="V82" s="1">
        <f t="shared" si="15"/>
        <v>49</v>
      </c>
      <c r="W82" s="8">
        <f t="shared" si="16"/>
        <v>0.81439393939393945</v>
      </c>
      <c r="X82" s="8">
        <f t="shared" si="17"/>
        <v>0.18560606060606061</v>
      </c>
      <c r="Y82" s="8">
        <f t="shared" si="12"/>
        <v>0</v>
      </c>
      <c r="Z82" s="8">
        <f t="shared" si="18"/>
        <v>0</v>
      </c>
      <c r="AA82" s="8">
        <f t="shared" si="19"/>
        <v>0.81439393939393945</v>
      </c>
    </row>
    <row r="83" spans="1:27">
      <c r="A83" s="1">
        <v>80</v>
      </c>
      <c r="B83" s="22" t="s">
        <v>102</v>
      </c>
      <c r="C83" s="23" t="s">
        <v>118</v>
      </c>
      <c r="D83" s="6">
        <v>44693</v>
      </c>
      <c r="E83" s="15">
        <v>155</v>
      </c>
      <c r="F83" s="15">
        <v>466</v>
      </c>
      <c r="G83" s="1"/>
      <c r="H83" s="1"/>
      <c r="I83" s="1">
        <f t="shared" si="13"/>
        <v>0</v>
      </c>
      <c r="J83" s="112">
        <f t="shared" si="20"/>
        <v>0</v>
      </c>
      <c r="K83" s="7">
        <v>3</v>
      </c>
      <c r="L83" s="7">
        <v>9</v>
      </c>
      <c r="M83" s="7">
        <v>0</v>
      </c>
      <c r="N83" s="7">
        <v>10</v>
      </c>
      <c r="O83" s="7">
        <v>0</v>
      </c>
      <c r="P83" s="7">
        <v>0</v>
      </c>
      <c r="Q83" s="7">
        <v>0</v>
      </c>
      <c r="R83" s="7">
        <v>0</v>
      </c>
      <c r="S83" s="1">
        <f t="shared" si="22"/>
        <v>22</v>
      </c>
      <c r="T83" s="112">
        <f t="shared" si="21"/>
        <v>88</v>
      </c>
      <c r="U83" s="1">
        <f t="shared" si="14"/>
        <v>22</v>
      </c>
      <c r="V83" s="1">
        <f t="shared" si="15"/>
        <v>133</v>
      </c>
      <c r="W83" s="8">
        <f t="shared" si="16"/>
        <v>0.14193548387096774</v>
      </c>
      <c r="X83" s="8">
        <f t="shared" si="17"/>
        <v>0.85806451612903223</v>
      </c>
      <c r="Y83" s="8">
        <f t="shared" si="12"/>
        <v>0</v>
      </c>
      <c r="Z83" s="8">
        <f t="shared" si="18"/>
        <v>0</v>
      </c>
      <c r="AA83" s="8">
        <f t="shared" si="19"/>
        <v>0.14193548387096774</v>
      </c>
    </row>
    <row r="84" spans="1:27">
      <c r="A84" s="1">
        <v>81</v>
      </c>
      <c r="B84" s="22" t="s">
        <v>102</v>
      </c>
      <c r="C84" s="22" t="s">
        <v>129</v>
      </c>
      <c r="D84" s="6" t="s">
        <v>50</v>
      </c>
      <c r="E84" s="15">
        <v>304</v>
      </c>
      <c r="F84" s="15">
        <v>962</v>
      </c>
      <c r="G84" s="30">
        <v>161</v>
      </c>
      <c r="H84" s="30">
        <v>130</v>
      </c>
      <c r="I84" s="1">
        <f t="shared" si="13"/>
        <v>291</v>
      </c>
      <c r="J84" s="112">
        <f t="shared" si="20"/>
        <v>1164</v>
      </c>
      <c r="K84" s="7">
        <v>0</v>
      </c>
      <c r="L84" s="7">
        <v>5</v>
      </c>
      <c r="M84" s="7">
        <v>0</v>
      </c>
      <c r="N84" s="18">
        <v>0</v>
      </c>
      <c r="O84" s="18">
        <v>0</v>
      </c>
      <c r="P84" s="7">
        <v>0</v>
      </c>
      <c r="Q84" s="7">
        <v>1</v>
      </c>
      <c r="R84" s="7">
        <v>1</v>
      </c>
      <c r="S84" s="1">
        <f t="shared" si="22"/>
        <v>7</v>
      </c>
      <c r="T84" s="112">
        <f t="shared" si="21"/>
        <v>28</v>
      </c>
      <c r="U84" s="1">
        <f t="shared" si="14"/>
        <v>298</v>
      </c>
      <c r="V84" s="30">
        <f t="shared" si="15"/>
        <v>6</v>
      </c>
      <c r="W84" s="8">
        <f t="shared" si="16"/>
        <v>0.98026315789473684</v>
      </c>
      <c r="X84" s="8">
        <f t="shared" si="17"/>
        <v>1.9736842105263157E-2</v>
      </c>
      <c r="Y84" s="8">
        <f t="shared" si="12"/>
        <v>0.52960526315789469</v>
      </c>
      <c r="Z84" s="8">
        <f t="shared" si="18"/>
        <v>0.95723684210526316</v>
      </c>
      <c r="AA84" s="8">
        <f t="shared" si="19"/>
        <v>2.3026315789473683E-2</v>
      </c>
    </row>
    <row r="85" spans="1:27">
      <c r="A85" s="1">
        <v>82</v>
      </c>
      <c r="B85" s="22" t="s">
        <v>102</v>
      </c>
      <c r="C85" s="23" t="s">
        <v>104</v>
      </c>
      <c r="D85" s="6" t="s">
        <v>105</v>
      </c>
      <c r="E85" s="15">
        <v>408</v>
      </c>
      <c r="F85" s="15">
        <v>1253</v>
      </c>
      <c r="G85" s="1"/>
      <c r="H85" s="1"/>
      <c r="I85" s="1">
        <f t="shared" si="13"/>
        <v>0</v>
      </c>
      <c r="J85" s="112">
        <f t="shared" si="20"/>
        <v>0</v>
      </c>
      <c r="K85" s="7">
        <v>6</v>
      </c>
      <c r="L85" s="7">
        <v>0</v>
      </c>
      <c r="M85" s="7">
        <v>0</v>
      </c>
      <c r="N85" s="7">
        <v>0</v>
      </c>
      <c r="O85" s="7">
        <v>0</v>
      </c>
      <c r="P85" s="7">
        <v>1</v>
      </c>
      <c r="Q85" s="7">
        <v>0</v>
      </c>
      <c r="R85" s="7">
        <v>0</v>
      </c>
      <c r="S85" s="1">
        <f t="shared" si="22"/>
        <v>7</v>
      </c>
      <c r="T85" s="112">
        <f t="shared" si="21"/>
        <v>28</v>
      </c>
      <c r="U85" s="1">
        <f t="shared" si="14"/>
        <v>7</v>
      </c>
      <c r="V85" s="1">
        <f t="shared" si="15"/>
        <v>401</v>
      </c>
      <c r="W85" s="8">
        <f t="shared" si="16"/>
        <v>1.7156862745098041E-2</v>
      </c>
      <c r="X85" s="8">
        <f t="shared" si="17"/>
        <v>0.98284313725490191</v>
      </c>
      <c r="Y85" s="8">
        <f t="shared" si="12"/>
        <v>0</v>
      </c>
      <c r="Z85" s="8">
        <f t="shared" si="18"/>
        <v>0</v>
      </c>
      <c r="AA85" s="8">
        <f t="shared" si="19"/>
        <v>1.7156862745098041E-2</v>
      </c>
    </row>
    <row r="86" spans="1:27">
      <c r="A86" s="1">
        <v>83</v>
      </c>
      <c r="B86" s="22" t="s">
        <v>102</v>
      </c>
      <c r="C86" s="22" t="s">
        <v>107</v>
      </c>
      <c r="D86" s="6" t="s">
        <v>108</v>
      </c>
      <c r="E86" s="15">
        <v>93</v>
      </c>
      <c r="F86" s="15">
        <v>285</v>
      </c>
      <c r="G86" s="1"/>
      <c r="H86" s="1"/>
      <c r="I86" s="1">
        <f t="shared" si="13"/>
        <v>0</v>
      </c>
      <c r="J86" s="112">
        <f t="shared" si="20"/>
        <v>0</v>
      </c>
      <c r="K86" s="7">
        <v>20</v>
      </c>
      <c r="L86" s="7">
        <v>0</v>
      </c>
      <c r="M86" s="7">
        <v>0</v>
      </c>
      <c r="N86" s="18">
        <v>50</v>
      </c>
      <c r="O86" s="7">
        <v>4</v>
      </c>
      <c r="P86" s="7">
        <v>3</v>
      </c>
      <c r="Q86" s="7">
        <v>0</v>
      </c>
      <c r="R86" s="7">
        <v>0</v>
      </c>
      <c r="S86" s="1">
        <f t="shared" si="22"/>
        <v>77</v>
      </c>
      <c r="T86" s="112">
        <f t="shared" si="21"/>
        <v>308</v>
      </c>
      <c r="U86" s="1">
        <f t="shared" si="14"/>
        <v>77</v>
      </c>
      <c r="V86" s="30">
        <f t="shared" si="15"/>
        <v>16</v>
      </c>
      <c r="W86" s="8">
        <f t="shared" si="16"/>
        <v>0.82795698924731187</v>
      </c>
      <c r="X86" s="8">
        <f t="shared" si="17"/>
        <v>0.17204301075268819</v>
      </c>
      <c r="Y86" s="8">
        <f t="shared" si="12"/>
        <v>0</v>
      </c>
      <c r="Z86" s="8">
        <f t="shared" si="18"/>
        <v>0</v>
      </c>
      <c r="AA86" s="8">
        <f t="shared" si="19"/>
        <v>0.82795698924731187</v>
      </c>
    </row>
    <row r="87" spans="1:27">
      <c r="A87" s="1">
        <v>84</v>
      </c>
      <c r="B87" s="22" t="s">
        <v>102</v>
      </c>
      <c r="C87" s="22" t="s">
        <v>106</v>
      </c>
      <c r="D87" s="6">
        <v>44595</v>
      </c>
      <c r="E87" s="15">
        <v>458</v>
      </c>
      <c r="F87" s="15">
        <v>1400</v>
      </c>
      <c r="G87" s="1"/>
      <c r="H87" s="30">
        <v>220</v>
      </c>
      <c r="I87" s="1">
        <f t="shared" si="13"/>
        <v>220</v>
      </c>
      <c r="J87" s="112">
        <f t="shared" si="20"/>
        <v>880</v>
      </c>
      <c r="K87" s="7">
        <v>9</v>
      </c>
      <c r="L87" s="7">
        <v>198</v>
      </c>
      <c r="M87" s="7">
        <v>3</v>
      </c>
      <c r="N87" s="7">
        <v>0</v>
      </c>
      <c r="O87" s="7">
        <v>0</v>
      </c>
      <c r="P87" s="7">
        <v>3</v>
      </c>
      <c r="Q87" s="7">
        <v>0</v>
      </c>
      <c r="R87" s="7">
        <v>0</v>
      </c>
      <c r="S87" s="1">
        <f t="shared" si="22"/>
        <v>213</v>
      </c>
      <c r="T87" s="112">
        <f t="shared" si="21"/>
        <v>852</v>
      </c>
      <c r="U87" s="1">
        <f t="shared" si="14"/>
        <v>433</v>
      </c>
      <c r="V87" s="1">
        <f t="shared" si="15"/>
        <v>25</v>
      </c>
      <c r="W87" s="8">
        <f t="shared" si="16"/>
        <v>0.94541484716157209</v>
      </c>
      <c r="X87" s="8">
        <f t="shared" si="17"/>
        <v>5.458515283842795E-2</v>
      </c>
      <c r="Y87" s="8">
        <f t="shared" si="12"/>
        <v>0</v>
      </c>
      <c r="Z87" s="8">
        <f t="shared" si="18"/>
        <v>0.48034934497816595</v>
      </c>
      <c r="AA87" s="8">
        <f t="shared" si="19"/>
        <v>0.46506550218340609</v>
      </c>
    </row>
    <row r="88" spans="1:27">
      <c r="A88" s="1">
        <v>85</v>
      </c>
      <c r="B88" s="22" t="s">
        <v>131</v>
      </c>
      <c r="C88" s="22" t="s">
        <v>133</v>
      </c>
      <c r="D88" s="6" t="s">
        <v>87</v>
      </c>
      <c r="E88" s="15">
        <v>716</v>
      </c>
      <c r="F88" s="15">
        <v>2211</v>
      </c>
      <c r="G88" s="30">
        <v>178</v>
      </c>
      <c r="H88" s="30">
        <v>250</v>
      </c>
      <c r="I88" s="1">
        <f t="shared" si="13"/>
        <v>428</v>
      </c>
      <c r="J88" s="112">
        <f t="shared" si="20"/>
        <v>1712</v>
      </c>
      <c r="K88" s="7">
        <v>0</v>
      </c>
      <c r="L88" s="7">
        <v>100</v>
      </c>
      <c r="M88" s="7">
        <v>2</v>
      </c>
      <c r="N88" s="7">
        <v>4</v>
      </c>
      <c r="O88" s="7">
        <v>0</v>
      </c>
      <c r="P88" s="7">
        <v>0</v>
      </c>
      <c r="Q88" s="7">
        <v>50</v>
      </c>
      <c r="R88" s="7">
        <v>0</v>
      </c>
      <c r="S88" s="1">
        <f t="shared" si="22"/>
        <v>156</v>
      </c>
      <c r="T88" s="112">
        <f t="shared" si="21"/>
        <v>624</v>
      </c>
      <c r="U88" s="1">
        <f t="shared" si="14"/>
        <v>584</v>
      </c>
      <c r="V88" s="1">
        <f t="shared" si="15"/>
        <v>132</v>
      </c>
      <c r="W88" s="8">
        <f t="shared" si="16"/>
        <v>0.81564245810055869</v>
      </c>
      <c r="X88" s="8">
        <f t="shared" si="17"/>
        <v>0.18435754189944134</v>
      </c>
      <c r="Y88" s="8">
        <f t="shared" si="12"/>
        <v>0.24860335195530725</v>
      </c>
      <c r="Z88" s="8">
        <f t="shared" si="18"/>
        <v>0.5977653631284916</v>
      </c>
      <c r="AA88" s="8">
        <f t="shared" si="19"/>
        <v>0.21787709497206703</v>
      </c>
    </row>
    <row r="89" spans="1:27">
      <c r="A89" s="1">
        <v>86</v>
      </c>
      <c r="B89" s="22" t="s">
        <v>131</v>
      </c>
      <c r="C89" s="24" t="s">
        <v>138</v>
      </c>
      <c r="D89" s="6" t="s">
        <v>139</v>
      </c>
      <c r="E89" s="15">
        <v>174</v>
      </c>
      <c r="F89" s="15">
        <v>539</v>
      </c>
      <c r="G89" s="1"/>
      <c r="H89" s="1">
        <v>0</v>
      </c>
      <c r="I89" s="1">
        <f t="shared" si="13"/>
        <v>0</v>
      </c>
      <c r="J89" s="112">
        <f t="shared" si="20"/>
        <v>0</v>
      </c>
      <c r="K89" s="7">
        <v>0</v>
      </c>
      <c r="L89" s="7">
        <v>5</v>
      </c>
      <c r="M89" s="7">
        <v>0</v>
      </c>
      <c r="N89" s="7">
        <v>50</v>
      </c>
      <c r="O89" s="7">
        <v>0</v>
      </c>
      <c r="P89" s="7">
        <v>1</v>
      </c>
      <c r="Q89" s="7">
        <v>5</v>
      </c>
      <c r="R89" s="7">
        <v>0</v>
      </c>
      <c r="S89" s="1">
        <f t="shared" si="22"/>
        <v>61</v>
      </c>
      <c r="T89" s="112">
        <f t="shared" si="21"/>
        <v>244</v>
      </c>
      <c r="U89" s="1">
        <f t="shared" si="14"/>
        <v>61</v>
      </c>
      <c r="V89" s="1">
        <f t="shared" si="15"/>
        <v>113</v>
      </c>
      <c r="W89" s="8">
        <f t="shared" si="16"/>
        <v>0.35057471264367818</v>
      </c>
      <c r="X89" s="8">
        <f t="shared" si="17"/>
        <v>0.64942528735632188</v>
      </c>
      <c r="Y89" s="8">
        <f t="shared" si="12"/>
        <v>0</v>
      </c>
      <c r="Z89" s="8">
        <f t="shared" si="18"/>
        <v>0</v>
      </c>
      <c r="AA89" s="8">
        <f t="shared" si="19"/>
        <v>0.35057471264367818</v>
      </c>
    </row>
    <row r="90" spans="1:27">
      <c r="A90" s="1">
        <v>87</v>
      </c>
      <c r="B90" s="22" t="s">
        <v>131</v>
      </c>
      <c r="C90" s="22" t="s">
        <v>148</v>
      </c>
      <c r="D90" s="6"/>
      <c r="E90" s="15">
        <v>80</v>
      </c>
      <c r="F90" s="15">
        <v>238</v>
      </c>
      <c r="G90" s="1"/>
      <c r="H90" s="30">
        <v>50</v>
      </c>
      <c r="I90" s="1">
        <f t="shared" si="13"/>
        <v>50</v>
      </c>
      <c r="J90" s="112">
        <f t="shared" si="20"/>
        <v>200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1">
        <f t="shared" si="22"/>
        <v>0</v>
      </c>
      <c r="T90" s="112">
        <f t="shared" si="21"/>
        <v>0</v>
      </c>
      <c r="U90" s="1">
        <f t="shared" si="14"/>
        <v>50</v>
      </c>
      <c r="V90" s="1">
        <f t="shared" si="15"/>
        <v>30</v>
      </c>
      <c r="W90" s="8">
        <f t="shared" si="16"/>
        <v>0.625</v>
      </c>
      <c r="X90" s="8">
        <f t="shared" si="17"/>
        <v>0.375</v>
      </c>
      <c r="Y90" s="8">
        <f t="shared" si="12"/>
        <v>0</v>
      </c>
      <c r="Z90" s="8">
        <f t="shared" si="18"/>
        <v>0.625</v>
      </c>
      <c r="AA90" s="8">
        <f t="shared" si="19"/>
        <v>0</v>
      </c>
    </row>
    <row r="91" spans="1:27">
      <c r="A91" s="1">
        <v>88</v>
      </c>
      <c r="B91" s="22" t="s">
        <v>131</v>
      </c>
      <c r="C91" s="22" t="s">
        <v>147</v>
      </c>
      <c r="D91" s="6"/>
      <c r="E91" s="15">
        <v>142</v>
      </c>
      <c r="F91" s="15">
        <v>433</v>
      </c>
      <c r="G91" s="1"/>
      <c r="H91" s="30">
        <v>115</v>
      </c>
      <c r="I91" s="1">
        <f t="shared" si="13"/>
        <v>115</v>
      </c>
      <c r="J91" s="112">
        <f t="shared" si="20"/>
        <v>460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1">
        <f t="shared" si="22"/>
        <v>0</v>
      </c>
      <c r="T91" s="112">
        <f t="shared" si="21"/>
        <v>0</v>
      </c>
      <c r="U91" s="1">
        <f t="shared" si="14"/>
        <v>115</v>
      </c>
      <c r="V91" s="1">
        <f t="shared" si="15"/>
        <v>27</v>
      </c>
      <c r="W91" s="8">
        <f t="shared" si="16"/>
        <v>0.8098591549295775</v>
      </c>
      <c r="X91" s="8">
        <f t="shared" si="17"/>
        <v>0.19014084507042253</v>
      </c>
      <c r="Y91" s="8">
        <f t="shared" si="12"/>
        <v>0</v>
      </c>
      <c r="Z91" s="8">
        <f t="shared" si="18"/>
        <v>0.8098591549295775</v>
      </c>
      <c r="AA91" s="8">
        <f t="shared" si="19"/>
        <v>0</v>
      </c>
    </row>
    <row r="92" spans="1:27">
      <c r="A92" s="1">
        <v>89</v>
      </c>
      <c r="B92" s="22" t="s">
        <v>131</v>
      </c>
      <c r="C92" s="22" t="s">
        <v>131</v>
      </c>
      <c r="D92" s="6"/>
      <c r="E92" s="15">
        <v>1387</v>
      </c>
      <c r="F92" s="15">
        <v>4247</v>
      </c>
      <c r="G92" s="110">
        <v>1070</v>
      </c>
      <c r="H92" s="1"/>
      <c r="I92" s="1">
        <f t="shared" si="13"/>
        <v>1070</v>
      </c>
      <c r="J92" s="112">
        <f t="shared" si="20"/>
        <v>4280</v>
      </c>
      <c r="K92" s="7">
        <v>0</v>
      </c>
      <c r="L92" s="7">
        <v>0</v>
      </c>
      <c r="M92" s="7">
        <v>0</v>
      </c>
      <c r="N92" s="7">
        <v>0</v>
      </c>
      <c r="O92" s="95">
        <v>235</v>
      </c>
      <c r="P92" s="7">
        <v>0</v>
      </c>
      <c r="Q92" s="7">
        <v>0</v>
      </c>
      <c r="R92" s="7">
        <v>0</v>
      </c>
      <c r="S92" s="1">
        <f t="shared" si="22"/>
        <v>235</v>
      </c>
      <c r="T92" s="112">
        <f t="shared" si="21"/>
        <v>940</v>
      </c>
      <c r="U92" s="1">
        <f t="shared" si="14"/>
        <v>1305</v>
      </c>
      <c r="V92" s="1">
        <f t="shared" si="15"/>
        <v>82</v>
      </c>
      <c r="W92" s="8">
        <f t="shared" si="16"/>
        <v>0.94087959625090123</v>
      </c>
      <c r="X92" s="8">
        <f t="shared" si="17"/>
        <v>5.9120403749098771E-2</v>
      </c>
      <c r="Y92" s="8">
        <f t="shared" si="12"/>
        <v>0.7714491708723864</v>
      </c>
      <c r="Z92" s="8">
        <f t="shared" si="18"/>
        <v>0.7714491708723864</v>
      </c>
      <c r="AA92" s="8">
        <f t="shared" si="19"/>
        <v>0.16943042537851477</v>
      </c>
    </row>
    <row r="93" spans="1:27">
      <c r="A93" s="1">
        <v>90</v>
      </c>
      <c r="B93" s="22" t="s">
        <v>131</v>
      </c>
      <c r="C93" s="22" t="s">
        <v>135</v>
      </c>
      <c r="D93" s="6" t="s">
        <v>136</v>
      </c>
      <c r="E93" s="15">
        <v>166</v>
      </c>
      <c r="F93" s="15">
        <v>478</v>
      </c>
      <c r="G93" s="1"/>
      <c r="H93" s="30">
        <v>145</v>
      </c>
      <c r="I93" s="1">
        <f t="shared" si="13"/>
        <v>145</v>
      </c>
      <c r="J93" s="112">
        <f t="shared" si="20"/>
        <v>580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</v>
      </c>
      <c r="S93" s="1">
        <f t="shared" si="22"/>
        <v>1</v>
      </c>
      <c r="T93" s="112">
        <f t="shared" si="21"/>
        <v>4</v>
      </c>
      <c r="U93" s="1">
        <f t="shared" si="14"/>
        <v>146</v>
      </c>
      <c r="V93" s="1">
        <f t="shared" si="15"/>
        <v>20</v>
      </c>
      <c r="W93" s="8">
        <f t="shared" si="16"/>
        <v>0.87951807228915657</v>
      </c>
      <c r="X93" s="8">
        <f t="shared" si="17"/>
        <v>0.12048192771084337</v>
      </c>
      <c r="Y93" s="8">
        <f t="shared" si="12"/>
        <v>0</v>
      </c>
      <c r="Z93" s="8">
        <f t="shared" si="18"/>
        <v>0.87349397590361444</v>
      </c>
      <c r="AA93" s="8">
        <f t="shared" si="19"/>
        <v>6.024096385542169E-3</v>
      </c>
    </row>
    <row r="94" spans="1:27">
      <c r="A94" s="1">
        <v>91</v>
      </c>
      <c r="B94" s="22" t="s">
        <v>131</v>
      </c>
      <c r="C94" s="23" t="s">
        <v>132</v>
      </c>
      <c r="D94" s="6">
        <v>44866</v>
      </c>
      <c r="E94" s="15">
        <v>672</v>
      </c>
      <c r="F94" s="15">
        <v>2025</v>
      </c>
      <c r="G94" s="1"/>
      <c r="H94" s="30">
        <v>50</v>
      </c>
      <c r="I94" s="1">
        <f t="shared" si="13"/>
        <v>50</v>
      </c>
      <c r="J94" s="112">
        <f t="shared" si="20"/>
        <v>200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7">
        <v>4</v>
      </c>
      <c r="R94" s="7">
        <v>0</v>
      </c>
      <c r="S94" s="1">
        <f t="shared" si="22"/>
        <v>9</v>
      </c>
      <c r="T94" s="112">
        <f t="shared" si="21"/>
        <v>36</v>
      </c>
      <c r="U94" s="1">
        <f t="shared" si="14"/>
        <v>59</v>
      </c>
      <c r="V94" s="1">
        <f t="shared" si="15"/>
        <v>613</v>
      </c>
      <c r="W94" s="8">
        <f t="shared" si="16"/>
        <v>8.7797619047619041E-2</v>
      </c>
      <c r="X94" s="8">
        <f t="shared" si="17"/>
        <v>0.91220238095238093</v>
      </c>
      <c r="Y94" s="8">
        <f t="shared" si="12"/>
        <v>0</v>
      </c>
      <c r="Z94" s="8">
        <f t="shared" si="18"/>
        <v>7.4404761904761904E-2</v>
      </c>
      <c r="AA94" s="8">
        <f t="shared" si="19"/>
        <v>1.3392857142857142E-2</v>
      </c>
    </row>
    <row r="95" spans="1:27">
      <c r="A95" s="1">
        <v>92</v>
      </c>
      <c r="B95" s="22" t="s">
        <v>131</v>
      </c>
      <c r="C95" s="23" t="s">
        <v>140</v>
      </c>
      <c r="D95" s="6" t="s">
        <v>141</v>
      </c>
      <c r="E95" s="15">
        <v>209</v>
      </c>
      <c r="F95" s="15">
        <v>605</v>
      </c>
      <c r="G95" s="1"/>
      <c r="H95" s="1"/>
      <c r="I95" s="1">
        <f t="shared" si="13"/>
        <v>0</v>
      </c>
      <c r="J95" s="112">
        <f t="shared" si="20"/>
        <v>0</v>
      </c>
      <c r="K95" s="7">
        <v>0</v>
      </c>
      <c r="L95" s="7">
        <v>18</v>
      </c>
      <c r="M95" s="7">
        <v>0</v>
      </c>
      <c r="N95" s="7">
        <v>20</v>
      </c>
      <c r="O95" s="7">
        <v>0</v>
      </c>
      <c r="P95" s="7">
        <v>0</v>
      </c>
      <c r="Q95" s="7">
        <v>0</v>
      </c>
      <c r="R95" s="7">
        <v>0</v>
      </c>
      <c r="S95" s="1">
        <f t="shared" si="22"/>
        <v>38</v>
      </c>
      <c r="T95" s="112">
        <f t="shared" si="21"/>
        <v>152</v>
      </c>
      <c r="U95" s="1">
        <f t="shared" si="14"/>
        <v>38</v>
      </c>
      <c r="V95" s="1">
        <f t="shared" si="15"/>
        <v>171</v>
      </c>
      <c r="W95" s="8">
        <f t="shared" si="16"/>
        <v>0.18181818181818182</v>
      </c>
      <c r="X95" s="8">
        <f t="shared" si="17"/>
        <v>0.81818181818181823</v>
      </c>
      <c r="Y95" s="8">
        <f t="shared" si="12"/>
        <v>0</v>
      </c>
      <c r="Z95" s="8">
        <f t="shared" si="18"/>
        <v>0</v>
      </c>
      <c r="AA95" s="8">
        <f t="shared" si="19"/>
        <v>0.18181818181818182</v>
      </c>
    </row>
    <row r="96" spans="1:27">
      <c r="A96" s="1">
        <v>93</v>
      </c>
      <c r="B96" s="22" t="s">
        <v>131</v>
      </c>
      <c r="C96" s="22" t="s">
        <v>137</v>
      </c>
      <c r="D96" s="6" t="s">
        <v>63</v>
      </c>
      <c r="E96" s="15">
        <v>88</v>
      </c>
      <c r="F96" s="15">
        <v>243</v>
      </c>
      <c r="G96" s="1"/>
      <c r="H96" s="30">
        <v>70</v>
      </c>
      <c r="I96" s="1">
        <f t="shared" si="13"/>
        <v>70</v>
      </c>
      <c r="J96" s="112">
        <f t="shared" si="20"/>
        <v>280</v>
      </c>
      <c r="K96" s="7">
        <v>0</v>
      </c>
      <c r="L96" s="18">
        <v>10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1</v>
      </c>
      <c r="S96" s="1">
        <f t="shared" si="22"/>
        <v>11</v>
      </c>
      <c r="T96" s="112">
        <f t="shared" si="21"/>
        <v>44</v>
      </c>
      <c r="U96" s="1">
        <f t="shared" si="14"/>
        <v>81</v>
      </c>
      <c r="V96" s="30">
        <f t="shared" si="15"/>
        <v>7</v>
      </c>
      <c r="W96" s="8">
        <f t="shared" si="16"/>
        <v>0.92045454545454541</v>
      </c>
      <c r="X96" s="8">
        <f t="shared" si="17"/>
        <v>7.9545454545454544E-2</v>
      </c>
      <c r="Y96" s="8">
        <f t="shared" si="12"/>
        <v>0</v>
      </c>
      <c r="Z96" s="8">
        <f t="shared" si="18"/>
        <v>0.79545454545454541</v>
      </c>
      <c r="AA96" s="8">
        <f t="shared" si="19"/>
        <v>0.125</v>
      </c>
    </row>
    <row r="97" spans="1:30">
      <c r="A97" s="1">
        <v>94</v>
      </c>
      <c r="B97" s="22" t="s">
        <v>131</v>
      </c>
      <c r="C97" s="23" t="s">
        <v>144</v>
      </c>
      <c r="D97" s="6" t="s">
        <v>145</v>
      </c>
      <c r="E97" s="15">
        <v>254</v>
      </c>
      <c r="F97" s="15">
        <v>736</v>
      </c>
      <c r="G97" s="1"/>
      <c r="H97" s="30">
        <v>61</v>
      </c>
      <c r="I97" s="1">
        <f t="shared" si="13"/>
        <v>61</v>
      </c>
      <c r="J97" s="112">
        <f t="shared" si="20"/>
        <v>244</v>
      </c>
      <c r="K97" s="7">
        <v>0</v>
      </c>
      <c r="L97" s="7">
        <v>10</v>
      </c>
      <c r="M97" s="7">
        <v>0</v>
      </c>
      <c r="N97" s="7">
        <v>0</v>
      </c>
      <c r="O97" s="7">
        <v>0</v>
      </c>
      <c r="P97" s="7">
        <v>0</v>
      </c>
      <c r="Q97" s="7">
        <v>3</v>
      </c>
      <c r="R97" s="7">
        <v>3</v>
      </c>
      <c r="S97" s="1">
        <f t="shared" si="22"/>
        <v>16</v>
      </c>
      <c r="T97" s="112">
        <f t="shared" si="21"/>
        <v>64</v>
      </c>
      <c r="U97" s="1">
        <f t="shared" si="14"/>
        <v>77</v>
      </c>
      <c r="V97" s="1">
        <f t="shared" si="15"/>
        <v>177</v>
      </c>
      <c r="W97" s="8">
        <f t="shared" si="16"/>
        <v>0.30314960629921262</v>
      </c>
      <c r="X97" s="8">
        <f t="shared" si="17"/>
        <v>0.69685039370078738</v>
      </c>
      <c r="Y97" s="8">
        <f t="shared" si="12"/>
        <v>0</v>
      </c>
      <c r="Z97" s="8">
        <f t="shared" si="18"/>
        <v>0.24015748031496062</v>
      </c>
      <c r="AA97" s="8">
        <f t="shared" si="19"/>
        <v>6.2992125984251968E-2</v>
      </c>
    </row>
    <row r="98" spans="1:30">
      <c r="A98" s="1">
        <v>95</v>
      </c>
      <c r="B98" s="22" t="s">
        <v>131</v>
      </c>
      <c r="C98" s="23" t="s">
        <v>146</v>
      </c>
      <c r="D98" s="6">
        <v>44785</v>
      </c>
      <c r="E98" s="15">
        <v>376</v>
      </c>
      <c r="F98" s="15">
        <v>1129</v>
      </c>
      <c r="G98" s="30">
        <v>37</v>
      </c>
      <c r="H98" s="1"/>
      <c r="I98" s="1">
        <f t="shared" si="13"/>
        <v>37</v>
      </c>
      <c r="J98" s="112">
        <f t="shared" si="20"/>
        <v>148</v>
      </c>
      <c r="K98" s="7">
        <v>1</v>
      </c>
      <c r="L98" s="7">
        <v>17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1</v>
      </c>
      <c r="S98" s="1">
        <f t="shared" si="22"/>
        <v>19</v>
      </c>
      <c r="T98" s="112">
        <f t="shared" si="21"/>
        <v>76</v>
      </c>
      <c r="U98" s="1">
        <f t="shared" si="14"/>
        <v>56</v>
      </c>
      <c r="V98" s="1">
        <f t="shared" si="15"/>
        <v>320</v>
      </c>
      <c r="W98" s="8">
        <f t="shared" si="16"/>
        <v>0.14893617021276595</v>
      </c>
      <c r="X98" s="8">
        <f t="shared" si="17"/>
        <v>0.85106382978723405</v>
      </c>
      <c r="Y98" s="8">
        <f t="shared" si="12"/>
        <v>9.8404255319148939E-2</v>
      </c>
      <c r="Z98" s="8">
        <f t="shared" si="18"/>
        <v>9.8404255319148939E-2</v>
      </c>
      <c r="AA98" s="8">
        <f t="shared" si="19"/>
        <v>5.0531914893617018E-2</v>
      </c>
    </row>
    <row r="99" spans="1:30">
      <c r="A99" s="1">
        <v>96</v>
      </c>
      <c r="B99" s="22" t="s">
        <v>131</v>
      </c>
      <c r="C99" s="23" t="s">
        <v>142</v>
      </c>
      <c r="D99" s="6" t="s">
        <v>143</v>
      </c>
      <c r="E99" s="15">
        <v>209</v>
      </c>
      <c r="F99" s="15">
        <v>593</v>
      </c>
      <c r="G99" s="1"/>
      <c r="H99" s="1"/>
      <c r="I99" s="1">
        <f t="shared" si="13"/>
        <v>0</v>
      </c>
      <c r="J99" s="112">
        <f t="shared" si="20"/>
        <v>0</v>
      </c>
      <c r="K99" s="7">
        <v>0</v>
      </c>
      <c r="L99" s="7">
        <v>25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1</v>
      </c>
      <c r="S99" s="1">
        <f t="shared" si="22"/>
        <v>26</v>
      </c>
      <c r="T99" s="112">
        <f t="shared" si="21"/>
        <v>104</v>
      </c>
      <c r="U99" s="1">
        <f t="shared" si="14"/>
        <v>26</v>
      </c>
      <c r="V99" s="1">
        <f t="shared" si="15"/>
        <v>183</v>
      </c>
      <c r="W99" s="8">
        <f t="shared" si="16"/>
        <v>0.12440191387559808</v>
      </c>
      <c r="X99" s="8">
        <f t="shared" si="17"/>
        <v>0.87559808612440193</v>
      </c>
      <c r="Y99" s="8">
        <f t="shared" si="12"/>
        <v>0</v>
      </c>
      <c r="Z99" s="8">
        <f t="shared" si="18"/>
        <v>0</v>
      </c>
      <c r="AA99" s="8">
        <f t="shared" si="19"/>
        <v>0.12440191387559808</v>
      </c>
    </row>
    <row r="100" spans="1:30">
      <c r="A100" s="1">
        <v>97</v>
      </c>
      <c r="B100" s="22" t="s">
        <v>131</v>
      </c>
      <c r="C100" s="22" t="s">
        <v>134</v>
      </c>
      <c r="D100" s="6">
        <v>44779</v>
      </c>
      <c r="E100" s="15">
        <v>125</v>
      </c>
      <c r="F100" s="15">
        <v>350</v>
      </c>
      <c r="G100" s="1"/>
      <c r="H100" s="30">
        <v>108</v>
      </c>
      <c r="I100" s="1">
        <f t="shared" si="13"/>
        <v>108</v>
      </c>
      <c r="J100" s="112">
        <f t="shared" si="20"/>
        <v>432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</v>
      </c>
      <c r="Q100" s="7">
        <v>1</v>
      </c>
      <c r="R100" s="7">
        <v>0</v>
      </c>
      <c r="S100" s="1">
        <f t="shared" si="22"/>
        <v>2</v>
      </c>
      <c r="T100" s="112">
        <f t="shared" si="21"/>
        <v>8</v>
      </c>
      <c r="U100" s="1">
        <f t="shared" si="14"/>
        <v>110</v>
      </c>
      <c r="V100" s="1">
        <f t="shared" si="15"/>
        <v>15</v>
      </c>
      <c r="W100" s="8">
        <f t="shared" si="16"/>
        <v>0.88</v>
      </c>
      <c r="X100" s="8">
        <f t="shared" si="17"/>
        <v>0.12</v>
      </c>
      <c r="Y100" s="8">
        <f t="shared" ref="Y100:Y147" si="23">G100/E100</f>
        <v>0</v>
      </c>
      <c r="Z100" s="8">
        <f t="shared" si="18"/>
        <v>0.86399999999999999</v>
      </c>
      <c r="AA100" s="8">
        <f t="shared" si="19"/>
        <v>1.6E-2</v>
      </c>
    </row>
    <row r="101" spans="1:30">
      <c r="A101" s="1">
        <v>98</v>
      </c>
      <c r="B101" s="22" t="s">
        <v>151</v>
      </c>
      <c r="C101" s="25" t="s">
        <v>159</v>
      </c>
      <c r="D101" s="6">
        <v>44570</v>
      </c>
      <c r="E101" s="15">
        <v>273</v>
      </c>
      <c r="F101" s="15">
        <v>826</v>
      </c>
      <c r="G101" s="30">
        <v>128</v>
      </c>
      <c r="H101" s="1"/>
      <c r="I101" s="1">
        <f t="shared" si="13"/>
        <v>128</v>
      </c>
      <c r="J101" s="112">
        <f t="shared" si="20"/>
        <v>512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1</v>
      </c>
      <c r="Q101" s="7">
        <v>0</v>
      </c>
      <c r="R101" s="7">
        <v>1</v>
      </c>
      <c r="S101" s="1">
        <f t="shared" si="22"/>
        <v>3</v>
      </c>
      <c r="T101" s="112">
        <f t="shared" si="21"/>
        <v>12</v>
      </c>
      <c r="U101" s="1">
        <f t="shared" si="14"/>
        <v>131</v>
      </c>
      <c r="V101" s="1">
        <f t="shared" si="15"/>
        <v>142</v>
      </c>
      <c r="W101" s="8">
        <f t="shared" si="16"/>
        <v>0.47985347985347987</v>
      </c>
      <c r="X101" s="8">
        <f t="shared" si="17"/>
        <v>0.52014652014652019</v>
      </c>
      <c r="Y101" s="8">
        <f t="shared" si="23"/>
        <v>0.46886446886446886</v>
      </c>
      <c r="Z101" s="8">
        <f t="shared" si="18"/>
        <v>0.46886446886446886</v>
      </c>
      <c r="AA101" s="8">
        <f t="shared" si="19"/>
        <v>1.098901098901099E-2</v>
      </c>
    </row>
    <row r="102" spans="1:30">
      <c r="A102" s="1">
        <v>99</v>
      </c>
      <c r="B102" s="22" t="s">
        <v>151</v>
      </c>
      <c r="C102" s="22" t="s">
        <v>162</v>
      </c>
      <c r="D102" s="6"/>
      <c r="E102" s="15">
        <v>452</v>
      </c>
      <c r="F102" s="15">
        <v>1226</v>
      </c>
      <c r="G102" s="30">
        <v>150</v>
      </c>
      <c r="H102" s="30">
        <v>261</v>
      </c>
      <c r="I102" s="1">
        <f t="shared" si="13"/>
        <v>411</v>
      </c>
      <c r="J102" s="112">
        <f t="shared" si="20"/>
        <v>1644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1">
        <f t="shared" si="22"/>
        <v>0</v>
      </c>
      <c r="T102" s="112">
        <f t="shared" si="21"/>
        <v>0</v>
      </c>
      <c r="U102" s="1">
        <f t="shared" si="14"/>
        <v>411</v>
      </c>
      <c r="V102" s="1">
        <f t="shared" si="15"/>
        <v>41</v>
      </c>
      <c r="W102" s="8">
        <f t="shared" si="16"/>
        <v>0.90929203539823011</v>
      </c>
      <c r="X102" s="8">
        <f t="shared" si="17"/>
        <v>9.0707964601769914E-2</v>
      </c>
      <c r="Y102" s="8">
        <f t="shared" si="23"/>
        <v>0.33185840707964603</v>
      </c>
      <c r="Z102" s="8">
        <f t="shared" si="18"/>
        <v>0.90929203539823011</v>
      </c>
      <c r="AA102" s="8">
        <f t="shared" si="19"/>
        <v>0</v>
      </c>
    </row>
    <row r="103" spans="1:30">
      <c r="A103" s="1">
        <v>100</v>
      </c>
      <c r="B103" s="22" t="s">
        <v>151</v>
      </c>
      <c r="C103" s="23" t="s">
        <v>154</v>
      </c>
      <c r="D103" s="6" t="s">
        <v>155</v>
      </c>
      <c r="E103" s="15">
        <v>220</v>
      </c>
      <c r="F103" s="15">
        <v>625</v>
      </c>
      <c r="G103" s="1"/>
      <c r="H103" s="30">
        <v>81</v>
      </c>
      <c r="I103" s="1">
        <f t="shared" si="13"/>
        <v>81</v>
      </c>
      <c r="J103" s="112">
        <f t="shared" si="20"/>
        <v>324</v>
      </c>
      <c r="K103" s="7">
        <v>0</v>
      </c>
      <c r="L103" s="7">
        <v>1</v>
      </c>
      <c r="M103" s="7">
        <v>0</v>
      </c>
      <c r="N103" s="7">
        <v>0</v>
      </c>
      <c r="O103" s="95">
        <f>1+55</f>
        <v>56</v>
      </c>
      <c r="P103" s="7">
        <v>0</v>
      </c>
      <c r="Q103" s="7">
        <v>1</v>
      </c>
      <c r="R103" s="7">
        <v>1</v>
      </c>
      <c r="S103" s="1">
        <f t="shared" si="22"/>
        <v>59</v>
      </c>
      <c r="T103" s="112">
        <f t="shared" si="21"/>
        <v>236</v>
      </c>
      <c r="U103" s="1">
        <f t="shared" si="14"/>
        <v>140</v>
      </c>
      <c r="V103" s="1">
        <f t="shared" si="15"/>
        <v>80</v>
      </c>
      <c r="W103" s="8">
        <f t="shared" si="16"/>
        <v>0.63636363636363635</v>
      </c>
      <c r="X103" s="8">
        <f t="shared" si="17"/>
        <v>0.36363636363636365</v>
      </c>
      <c r="Y103" s="8">
        <f t="shared" si="23"/>
        <v>0</v>
      </c>
      <c r="Z103" s="8">
        <f t="shared" si="18"/>
        <v>0.36818181818181817</v>
      </c>
      <c r="AA103" s="8">
        <f t="shared" si="19"/>
        <v>0.26818181818181819</v>
      </c>
    </row>
    <row r="104" spans="1:30">
      <c r="A104" s="1">
        <v>101</v>
      </c>
      <c r="B104" s="22" t="s">
        <v>151</v>
      </c>
      <c r="C104" s="23" t="s">
        <v>161</v>
      </c>
      <c r="D104" s="6">
        <v>44898</v>
      </c>
      <c r="E104" s="15">
        <v>115</v>
      </c>
      <c r="F104" s="15">
        <v>328</v>
      </c>
      <c r="G104" s="1"/>
      <c r="H104" s="1"/>
      <c r="I104" s="1">
        <f t="shared" si="13"/>
        <v>0</v>
      </c>
      <c r="J104" s="112">
        <f t="shared" si="20"/>
        <v>0</v>
      </c>
      <c r="K104" s="7">
        <v>0</v>
      </c>
      <c r="L104" s="7">
        <v>0</v>
      </c>
      <c r="M104" s="7">
        <v>0</v>
      </c>
      <c r="N104" s="7">
        <v>0</v>
      </c>
      <c r="O104" s="95">
        <f>190-77</f>
        <v>113</v>
      </c>
      <c r="P104" s="7">
        <v>0</v>
      </c>
      <c r="Q104" s="7">
        <v>1</v>
      </c>
      <c r="R104" s="7">
        <v>1</v>
      </c>
      <c r="S104" s="1">
        <f t="shared" si="22"/>
        <v>115</v>
      </c>
      <c r="T104" s="112">
        <f t="shared" si="21"/>
        <v>460</v>
      </c>
      <c r="U104" s="1">
        <f t="shared" si="14"/>
        <v>115</v>
      </c>
      <c r="V104" s="1">
        <f t="shared" si="15"/>
        <v>0</v>
      </c>
      <c r="W104" s="8">
        <f t="shared" si="16"/>
        <v>1</v>
      </c>
      <c r="X104" s="8">
        <f t="shared" si="17"/>
        <v>0</v>
      </c>
      <c r="Y104" s="8">
        <f t="shared" si="23"/>
        <v>0</v>
      </c>
      <c r="Z104" s="8">
        <f t="shared" si="18"/>
        <v>0</v>
      </c>
      <c r="AA104" s="8">
        <f t="shared" si="19"/>
        <v>1</v>
      </c>
    </row>
    <row r="105" spans="1:30">
      <c r="A105" s="1">
        <v>102</v>
      </c>
      <c r="B105" s="22" t="s">
        <v>151</v>
      </c>
      <c r="C105" s="22" t="s">
        <v>158</v>
      </c>
      <c r="D105" s="6">
        <v>44866</v>
      </c>
      <c r="E105" s="15">
        <v>402</v>
      </c>
      <c r="F105" s="15">
        <v>1232</v>
      </c>
      <c r="G105" s="110">
        <v>247</v>
      </c>
      <c r="H105" s="1"/>
      <c r="I105" s="1">
        <f t="shared" si="13"/>
        <v>247</v>
      </c>
      <c r="J105" s="112">
        <f t="shared" si="20"/>
        <v>988</v>
      </c>
      <c r="K105" s="7">
        <v>2</v>
      </c>
      <c r="L105" s="7">
        <v>5</v>
      </c>
      <c r="M105" s="7">
        <v>0</v>
      </c>
      <c r="N105" s="7">
        <v>1</v>
      </c>
      <c r="O105" s="95">
        <f>235-85</f>
        <v>150</v>
      </c>
      <c r="P105" s="7">
        <v>0</v>
      </c>
      <c r="Q105" s="7">
        <v>0</v>
      </c>
      <c r="R105" s="7">
        <v>2</v>
      </c>
      <c r="S105" s="1">
        <f t="shared" si="22"/>
        <v>160</v>
      </c>
      <c r="T105" s="112">
        <f t="shared" si="21"/>
        <v>640</v>
      </c>
      <c r="U105" s="1">
        <f t="shared" si="14"/>
        <v>407</v>
      </c>
      <c r="V105" s="1">
        <f t="shared" si="15"/>
        <v>-5</v>
      </c>
      <c r="W105" s="8">
        <f t="shared" si="16"/>
        <v>1.0124378109452736</v>
      </c>
      <c r="X105" s="8">
        <f t="shared" si="17"/>
        <v>-1.2437810945273632E-2</v>
      </c>
      <c r="Y105" s="8">
        <f t="shared" si="23"/>
        <v>0.61442786069651745</v>
      </c>
      <c r="Z105" s="8">
        <f t="shared" si="18"/>
        <v>0.61442786069651745</v>
      </c>
      <c r="AA105" s="8">
        <f t="shared" si="19"/>
        <v>0.39800995024875624</v>
      </c>
    </row>
    <row r="106" spans="1:30">
      <c r="A106" s="1">
        <v>103</v>
      </c>
      <c r="B106" s="22" t="s">
        <v>151</v>
      </c>
      <c r="C106" s="23" t="s">
        <v>153</v>
      </c>
      <c r="D106" s="6">
        <v>44896</v>
      </c>
      <c r="E106" s="15">
        <v>374</v>
      </c>
      <c r="F106" s="15">
        <v>1117</v>
      </c>
      <c r="G106" s="1"/>
      <c r="H106" s="1"/>
      <c r="I106" s="1">
        <f t="shared" si="13"/>
        <v>0</v>
      </c>
      <c r="J106" s="112">
        <f t="shared" si="20"/>
        <v>0</v>
      </c>
      <c r="K106" s="7">
        <v>0</v>
      </c>
      <c r="L106" s="7">
        <v>3</v>
      </c>
      <c r="M106" s="7">
        <v>2</v>
      </c>
      <c r="N106" s="7">
        <v>0</v>
      </c>
      <c r="O106" s="95">
        <f>71+189</f>
        <v>260</v>
      </c>
      <c r="P106" s="7">
        <v>1</v>
      </c>
      <c r="Q106" s="7">
        <v>0</v>
      </c>
      <c r="R106" s="7">
        <v>0</v>
      </c>
      <c r="S106" s="1">
        <f t="shared" si="22"/>
        <v>266</v>
      </c>
      <c r="T106" s="112">
        <f t="shared" si="21"/>
        <v>1064</v>
      </c>
      <c r="U106" s="1">
        <f t="shared" si="14"/>
        <v>266</v>
      </c>
      <c r="V106" s="1">
        <f t="shared" si="15"/>
        <v>108</v>
      </c>
      <c r="W106" s="8">
        <f t="shared" si="16"/>
        <v>0.71122994652406413</v>
      </c>
      <c r="X106" s="8">
        <f t="shared" si="17"/>
        <v>0.28877005347593582</v>
      </c>
      <c r="Y106" s="8">
        <f t="shared" si="23"/>
        <v>0</v>
      </c>
      <c r="Z106" s="8">
        <f t="shared" si="18"/>
        <v>0</v>
      </c>
      <c r="AA106" s="8">
        <f t="shared" si="19"/>
        <v>0.71122994652406413</v>
      </c>
    </row>
    <row r="107" spans="1:30">
      <c r="A107" s="1">
        <v>104</v>
      </c>
      <c r="B107" s="22" t="s">
        <v>151</v>
      </c>
      <c r="C107" s="23" t="s">
        <v>160</v>
      </c>
      <c r="D107" s="6">
        <v>44621</v>
      </c>
      <c r="E107" s="15">
        <v>187</v>
      </c>
      <c r="F107" s="15">
        <v>564</v>
      </c>
      <c r="G107" s="1"/>
      <c r="H107" s="1"/>
      <c r="I107" s="1">
        <f t="shared" si="13"/>
        <v>0</v>
      </c>
      <c r="J107" s="112">
        <f t="shared" si="20"/>
        <v>0</v>
      </c>
      <c r="K107" s="7">
        <v>0</v>
      </c>
      <c r="L107" s="7">
        <v>39</v>
      </c>
      <c r="M107" s="7">
        <v>0</v>
      </c>
      <c r="N107" s="7">
        <v>0</v>
      </c>
      <c r="O107" s="95">
        <v>55</v>
      </c>
      <c r="P107" s="7">
        <v>0</v>
      </c>
      <c r="Q107" s="7">
        <v>0</v>
      </c>
      <c r="R107" s="7">
        <v>0</v>
      </c>
      <c r="S107" s="1">
        <f t="shared" si="22"/>
        <v>94</v>
      </c>
      <c r="T107" s="112">
        <f t="shared" si="21"/>
        <v>376</v>
      </c>
      <c r="U107" s="1">
        <f t="shared" si="14"/>
        <v>94</v>
      </c>
      <c r="V107" s="1">
        <f t="shared" si="15"/>
        <v>93</v>
      </c>
      <c r="W107" s="8">
        <f t="shared" si="16"/>
        <v>0.50267379679144386</v>
      </c>
      <c r="X107" s="8">
        <f t="shared" si="17"/>
        <v>0.49732620320855614</v>
      </c>
      <c r="Y107" s="8">
        <f t="shared" si="23"/>
        <v>0</v>
      </c>
      <c r="Z107" s="8">
        <f t="shared" si="18"/>
        <v>0</v>
      </c>
      <c r="AA107" s="8">
        <f t="shared" si="19"/>
        <v>0.50267379679144386</v>
      </c>
    </row>
    <row r="108" spans="1:30">
      <c r="A108" s="1">
        <v>105</v>
      </c>
      <c r="B108" s="22" t="s">
        <v>151</v>
      </c>
      <c r="C108" s="23" t="s">
        <v>156</v>
      </c>
      <c r="D108" s="6" t="s">
        <v>157</v>
      </c>
      <c r="E108" s="15">
        <v>364</v>
      </c>
      <c r="F108" s="15">
        <v>1047</v>
      </c>
      <c r="G108" s="30">
        <v>1</v>
      </c>
      <c r="H108" s="30">
        <v>130</v>
      </c>
      <c r="I108" s="1">
        <f t="shared" si="13"/>
        <v>131</v>
      </c>
      <c r="J108" s="112">
        <f t="shared" si="20"/>
        <v>524</v>
      </c>
      <c r="K108" s="7">
        <v>0</v>
      </c>
      <c r="L108" s="7">
        <v>9</v>
      </c>
      <c r="M108" s="7">
        <v>0</v>
      </c>
      <c r="N108" s="7">
        <v>0</v>
      </c>
      <c r="O108" s="95">
        <v>55</v>
      </c>
      <c r="P108" s="7">
        <v>1</v>
      </c>
      <c r="Q108" s="7">
        <v>0</v>
      </c>
      <c r="R108" s="7">
        <v>0</v>
      </c>
      <c r="S108" s="1">
        <f t="shared" si="22"/>
        <v>65</v>
      </c>
      <c r="T108" s="112">
        <f t="shared" si="21"/>
        <v>260</v>
      </c>
      <c r="U108" s="1">
        <f t="shared" si="14"/>
        <v>196</v>
      </c>
      <c r="V108" s="1">
        <f t="shared" si="15"/>
        <v>168</v>
      </c>
      <c r="W108" s="8">
        <f t="shared" si="16"/>
        <v>0.53846153846153844</v>
      </c>
      <c r="X108" s="8">
        <f t="shared" si="17"/>
        <v>0.46153846153846156</v>
      </c>
      <c r="Y108" s="8">
        <f t="shared" si="23"/>
        <v>2.7472527472527475E-3</v>
      </c>
      <c r="Z108" s="8">
        <f t="shared" si="18"/>
        <v>0.35989010989010989</v>
      </c>
      <c r="AA108" s="8">
        <f t="shared" si="19"/>
        <v>0.17857142857142858</v>
      </c>
    </row>
    <row r="109" spans="1:30">
      <c r="A109" s="1">
        <v>106</v>
      </c>
      <c r="B109" s="22" t="s">
        <v>151</v>
      </c>
      <c r="C109" s="23" t="s">
        <v>152</v>
      </c>
      <c r="D109" s="6">
        <v>44289</v>
      </c>
      <c r="E109" s="15">
        <v>139</v>
      </c>
      <c r="F109" s="15">
        <v>417</v>
      </c>
      <c r="G109" s="1"/>
      <c r="H109" s="1"/>
      <c r="I109" s="1">
        <f t="shared" si="13"/>
        <v>0</v>
      </c>
      <c r="J109" s="112">
        <f t="shared" si="20"/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2</v>
      </c>
      <c r="S109" s="1">
        <f t="shared" si="22"/>
        <v>3</v>
      </c>
      <c r="T109" s="112">
        <f t="shared" si="21"/>
        <v>12</v>
      </c>
      <c r="U109" s="1">
        <f t="shared" si="14"/>
        <v>3</v>
      </c>
      <c r="V109" s="1">
        <f t="shared" si="15"/>
        <v>136</v>
      </c>
      <c r="W109" s="8">
        <f t="shared" si="16"/>
        <v>2.1582733812949641E-2</v>
      </c>
      <c r="X109" s="8">
        <f t="shared" si="17"/>
        <v>0.97841726618705038</v>
      </c>
      <c r="Y109" s="8">
        <f t="shared" si="23"/>
        <v>0</v>
      </c>
      <c r="Z109" s="8">
        <f t="shared" si="18"/>
        <v>0</v>
      </c>
      <c r="AA109" s="8">
        <f t="shared" si="19"/>
        <v>2.1582733812949641E-2</v>
      </c>
    </row>
    <row r="110" spans="1:30">
      <c r="A110" s="1">
        <v>107</v>
      </c>
      <c r="B110" s="22" t="s">
        <v>163</v>
      </c>
      <c r="C110" s="22" t="s">
        <v>165</v>
      </c>
      <c r="D110" s="6">
        <v>44866</v>
      </c>
      <c r="E110" s="20">
        <v>618</v>
      </c>
      <c r="F110" s="20">
        <v>1865</v>
      </c>
      <c r="G110" s="92">
        <v>327</v>
      </c>
      <c r="H110" s="7"/>
      <c r="I110" s="7">
        <f t="shared" si="13"/>
        <v>327</v>
      </c>
      <c r="J110" s="112">
        <f t="shared" si="20"/>
        <v>1308</v>
      </c>
      <c r="K110" s="7">
        <v>0</v>
      </c>
      <c r="L110" s="7">
        <v>236</v>
      </c>
      <c r="M110" s="7">
        <v>0</v>
      </c>
      <c r="N110" s="7">
        <v>0</v>
      </c>
      <c r="O110" s="95">
        <v>36</v>
      </c>
      <c r="P110" s="7">
        <v>0</v>
      </c>
      <c r="Q110" s="7">
        <v>0</v>
      </c>
      <c r="R110" s="7">
        <v>0</v>
      </c>
      <c r="S110" s="7">
        <f t="shared" si="22"/>
        <v>272</v>
      </c>
      <c r="T110" s="112">
        <f t="shared" si="21"/>
        <v>1088</v>
      </c>
      <c r="U110" s="7">
        <f t="shared" si="14"/>
        <v>599</v>
      </c>
      <c r="V110" s="10">
        <f t="shared" si="15"/>
        <v>19</v>
      </c>
      <c r="W110" s="8">
        <f t="shared" si="16"/>
        <v>0.96925566343042069</v>
      </c>
      <c r="X110" s="8">
        <f t="shared" si="17"/>
        <v>3.0744336569579287E-2</v>
      </c>
      <c r="Y110" s="8">
        <f t="shared" si="23"/>
        <v>0.529126213592233</v>
      </c>
      <c r="Z110" s="8">
        <f t="shared" si="18"/>
        <v>0.529126213592233</v>
      </c>
      <c r="AA110" s="8">
        <f t="shared" si="19"/>
        <v>0.44012944983818769</v>
      </c>
    </row>
    <row r="111" spans="1:30">
      <c r="A111" s="1">
        <v>108</v>
      </c>
      <c r="B111" s="22" t="s">
        <v>163</v>
      </c>
      <c r="C111" s="22" t="s">
        <v>166</v>
      </c>
      <c r="D111" s="6" t="s">
        <v>167</v>
      </c>
      <c r="E111" s="20">
        <v>1183</v>
      </c>
      <c r="F111" s="20">
        <v>3831</v>
      </c>
      <c r="G111" s="18">
        <f>818+85</f>
        <v>903</v>
      </c>
      <c r="H111" s="7"/>
      <c r="I111" s="7">
        <f t="shared" si="13"/>
        <v>903</v>
      </c>
      <c r="J111" s="112">
        <f t="shared" si="20"/>
        <v>3612</v>
      </c>
      <c r="K111" s="7">
        <v>15</v>
      </c>
      <c r="L111" s="7">
        <v>17</v>
      </c>
      <c r="M111" s="7">
        <v>0</v>
      </c>
      <c r="N111" s="7">
        <v>0</v>
      </c>
      <c r="O111" s="95">
        <v>31</v>
      </c>
      <c r="P111" s="7">
        <v>1</v>
      </c>
      <c r="Q111" s="7">
        <v>0</v>
      </c>
      <c r="R111" s="7">
        <v>0</v>
      </c>
      <c r="S111" s="7">
        <f t="shared" si="22"/>
        <v>64</v>
      </c>
      <c r="T111" s="112">
        <f t="shared" si="21"/>
        <v>256</v>
      </c>
      <c r="U111" s="7">
        <f t="shared" si="14"/>
        <v>967</v>
      </c>
      <c r="V111" s="10">
        <f t="shared" si="15"/>
        <v>216</v>
      </c>
      <c r="W111" s="8">
        <f t="shared" si="16"/>
        <v>0.81741335587489439</v>
      </c>
      <c r="X111" s="8">
        <f t="shared" si="17"/>
        <v>0.18258664412510567</v>
      </c>
      <c r="Y111" s="8">
        <f t="shared" si="23"/>
        <v>0.76331360946745563</v>
      </c>
      <c r="Z111" s="8">
        <f t="shared" si="18"/>
        <v>0.76331360946745563</v>
      </c>
      <c r="AA111" s="8">
        <f t="shared" si="19"/>
        <v>5.4099746407438712E-2</v>
      </c>
      <c r="AB111">
        <v>817</v>
      </c>
      <c r="AC111">
        <f>AD118</f>
        <v>74</v>
      </c>
      <c r="AD111">
        <f>AB111+AC111</f>
        <v>891</v>
      </c>
    </row>
    <row r="112" spans="1:30">
      <c r="A112" s="1">
        <v>109</v>
      </c>
      <c r="B112" s="22" t="s">
        <v>163</v>
      </c>
      <c r="C112" s="22" t="s">
        <v>176</v>
      </c>
      <c r="D112" s="6" t="s">
        <v>127</v>
      </c>
      <c r="E112" s="20">
        <v>792</v>
      </c>
      <c r="F112" s="20">
        <v>2310</v>
      </c>
      <c r="G112" s="7"/>
      <c r="H112" s="92">
        <v>205</v>
      </c>
      <c r="I112" s="7">
        <f t="shared" si="13"/>
        <v>205</v>
      </c>
      <c r="J112" s="112">
        <f t="shared" si="20"/>
        <v>820</v>
      </c>
      <c r="K112" s="7">
        <v>0</v>
      </c>
      <c r="L112" s="7">
        <v>45</v>
      </c>
      <c r="M112" s="7">
        <v>0</v>
      </c>
      <c r="N112" s="7">
        <v>70</v>
      </c>
      <c r="O112" s="100">
        <f>90+181-100</f>
        <v>171</v>
      </c>
      <c r="P112" s="7">
        <v>1</v>
      </c>
      <c r="Q112" s="7">
        <v>11</v>
      </c>
      <c r="R112" s="7">
        <v>0</v>
      </c>
      <c r="S112" s="7">
        <f t="shared" si="22"/>
        <v>298</v>
      </c>
      <c r="T112" s="112">
        <f t="shared" si="21"/>
        <v>1192</v>
      </c>
      <c r="U112" s="7">
        <f t="shared" si="14"/>
        <v>503</v>
      </c>
      <c r="V112" s="10">
        <f t="shared" si="15"/>
        <v>289</v>
      </c>
      <c r="W112" s="8">
        <f t="shared" si="16"/>
        <v>0.63510101010101006</v>
      </c>
      <c r="X112" s="8">
        <f t="shared" si="17"/>
        <v>0.36489898989898989</v>
      </c>
      <c r="Y112" s="8">
        <f t="shared" si="23"/>
        <v>0</v>
      </c>
      <c r="Z112" s="8">
        <f t="shared" si="18"/>
        <v>0.25883838383838381</v>
      </c>
      <c r="AA112" s="8">
        <f t="shared" si="19"/>
        <v>0.37626262626262624</v>
      </c>
    </row>
    <row r="113" spans="1:30">
      <c r="A113" s="1">
        <v>110</v>
      </c>
      <c r="B113" s="22" t="s">
        <v>163</v>
      </c>
      <c r="C113" s="22" t="s">
        <v>175</v>
      </c>
      <c r="D113" s="6" t="s">
        <v>150</v>
      </c>
      <c r="E113" s="20">
        <v>787</v>
      </c>
      <c r="F113" s="20">
        <v>2336</v>
      </c>
      <c r="G113" s="7"/>
      <c r="H113" s="92">
        <v>200</v>
      </c>
      <c r="I113" s="7">
        <f t="shared" si="13"/>
        <v>200</v>
      </c>
      <c r="J113" s="112">
        <f t="shared" si="20"/>
        <v>800</v>
      </c>
      <c r="K113" s="7">
        <v>0</v>
      </c>
      <c r="L113" s="7">
        <v>32</v>
      </c>
      <c r="M113" s="7">
        <v>0</v>
      </c>
      <c r="N113" s="18"/>
      <c r="O113" s="32">
        <f>166+93+104+168+181+90+181-436-106</f>
        <v>441</v>
      </c>
      <c r="P113" s="7">
        <v>8</v>
      </c>
      <c r="Q113" s="7">
        <v>0</v>
      </c>
      <c r="R113" s="7">
        <v>0</v>
      </c>
      <c r="S113" s="7">
        <f t="shared" si="22"/>
        <v>481</v>
      </c>
      <c r="T113" s="112">
        <f t="shared" si="21"/>
        <v>1924</v>
      </c>
      <c r="U113" s="7">
        <f t="shared" si="14"/>
        <v>681</v>
      </c>
      <c r="V113" s="31">
        <f t="shared" si="15"/>
        <v>106</v>
      </c>
      <c r="W113" s="8">
        <f t="shared" si="16"/>
        <v>0.86531130876747142</v>
      </c>
      <c r="X113" s="8">
        <f t="shared" si="17"/>
        <v>0.13468869123252858</v>
      </c>
      <c r="Y113" s="8">
        <f t="shared" si="23"/>
        <v>0</v>
      </c>
      <c r="Z113" s="8">
        <f t="shared" si="18"/>
        <v>0.25412960609911056</v>
      </c>
      <c r="AA113" s="8">
        <f t="shared" si="19"/>
        <v>0.61118170266836092</v>
      </c>
    </row>
    <row r="114" spans="1:30">
      <c r="A114" s="1">
        <v>111</v>
      </c>
      <c r="B114" s="22" t="s">
        <v>163</v>
      </c>
      <c r="C114" s="22" t="s">
        <v>164</v>
      </c>
      <c r="D114" s="6">
        <v>44744</v>
      </c>
      <c r="E114" s="20">
        <v>275</v>
      </c>
      <c r="F114" s="20">
        <v>819</v>
      </c>
      <c r="G114" s="7"/>
      <c r="H114" s="92">
        <v>161</v>
      </c>
      <c r="I114" s="7">
        <f t="shared" si="13"/>
        <v>161</v>
      </c>
      <c r="J114" s="112">
        <f t="shared" si="20"/>
        <v>644</v>
      </c>
      <c r="K114" s="7">
        <v>0</v>
      </c>
      <c r="L114" s="18">
        <v>100</v>
      </c>
      <c r="M114" s="7">
        <v>0</v>
      </c>
      <c r="N114" s="11">
        <v>0</v>
      </c>
      <c r="O114" s="95">
        <f>36-22</f>
        <v>14</v>
      </c>
      <c r="P114" s="7">
        <v>0</v>
      </c>
      <c r="Q114" s="7">
        <v>0</v>
      </c>
      <c r="R114" s="7">
        <v>0</v>
      </c>
      <c r="S114" s="7">
        <f t="shared" si="22"/>
        <v>114</v>
      </c>
      <c r="T114" s="112">
        <f t="shared" si="21"/>
        <v>456</v>
      </c>
      <c r="U114" s="7">
        <f t="shared" si="14"/>
        <v>275</v>
      </c>
      <c r="V114" s="31">
        <f t="shared" si="15"/>
        <v>0</v>
      </c>
      <c r="W114" s="8">
        <f t="shared" si="16"/>
        <v>1</v>
      </c>
      <c r="X114" s="8">
        <f t="shared" si="17"/>
        <v>0</v>
      </c>
      <c r="Y114" s="8">
        <f t="shared" si="23"/>
        <v>0</v>
      </c>
      <c r="Z114" s="8">
        <f t="shared" si="18"/>
        <v>0.58545454545454545</v>
      </c>
      <c r="AA114" s="8">
        <f t="shared" si="19"/>
        <v>0.41454545454545455</v>
      </c>
    </row>
    <row r="115" spans="1:30">
      <c r="A115" s="1">
        <v>112</v>
      </c>
      <c r="B115" s="22" t="s">
        <v>163</v>
      </c>
      <c r="C115" s="22" t="s">
        <v>177</v>
      </c>
      <c r="D115" s="6">
        <v>44806</v>
      </c>
      <c r="E115" s="20">
        <v>414</v>
      </c>
      <c r="F115" s="20">
        <v>1327</v>
      </c>
      <c r="G115" s="92">
        <v>230</v>
      </c>
      <c r="H115" s="7"/>
      <c r="I115" s="7">
        <f t="shared" si="13"/>
        <v>230</v>
      </c>
      <c r="J115" s="112">
        <f t="shared" si="20"/>
        <v>920</v>
      </c>
      <c r="K115" s="7">
        <v>0</v>
      </c>
      <c r="L115" s="7">
        <v>5</v>
      </c>
      <c r="M115" s="7">
        <v>0</v>
      </c>
      <c r="N115" s="7">
        <v>0</v>
      </c>
      <c r="O115" s="95">
        <v>108</v>
      </c>
      <c r="P115" s="7">
        <v>0</v>
      </c>
      <c r="Q115" s="7">
        <v>0</v>
      </c>
      <c r="R115" s="7">
        <v>0</v>
      </c>
      <c r="S115" s="7">
        <f t="shared" si="22"/>
        <v>113</v>
      </c>
      <c r="T115" s="112">
        <f t="shared" si="21"/>
        <v>452</v>
      </c>
      <c r="U115" s="7">
        <f t="shared" si="14"/>
        <v>343</v>
      </c>
      <c r="V115" s="10">
        <f t="shared" si="15"/>
        <v>71</v>
      </c>
      <c r="W115" s="8">
        <f t="shared" si="16"/>
        <v>0.82850241545893721</v>
      </c>
      <c r="X115" s="8">
        <f t="shared" si="17"/>
        <v>0.17149758454106281</v>
      </c>
      <c r="Y115" s="8">
        <f t="shared" si="23"/>
        <v>0.55555555555555558</v>
      </c>
      <c r="Z115" s="8">
        <f t="shared" si="18"/>
        <v>0.55555555555555558</v>
      </c>
      <c r="AA115" s="8">
        <f t="shared" si="19"/>
        <v>0.27294685990338163</v>
      </c>
    </row>
    <row r="116" spans="1:30">
      <c r="A116" s="1">
        <v>113</v>
      </c>
      <c r="B116" s="22" t="s">
        <v>163</v>
      </c>
      <c r="C116" s="22" t="s">
        <v>169</v>
      </c>
      <c r="D116" s="6" t="s">
        <v>170</v>
      </c>
      <c r="E116" s="20">
        <v>1106</v>
      </c>
      <c r="F116" s="20">
        <v>3277</v>
      </c>
      <c r="G116" s="18">
        <v>576</v>
      </c>
      <c r="H116" s="7"/>
      <c r="I116" s="7">
        <f t="shared" si="13"/>
        <v>576</v>
      </c>
      <c r="J116" s="112">
        <f t="shared" si="20"/>
        <v>2304</v>
      </c>
      <c r="K116" s="7">
        <v>0</v>
      </c>
      <c r="L116" s="7">
        <v>25</v>
      </c>
      <c r="M116" s="7">
        <v>0</v>
      </c>
      <c r="N116" s="32">
        <v>18</v>
      </c>
      <c r="O116" s="95">
        <f>124+55</f>
        <v>179</v>
      </c>
      <c r="P116" s="7">
        <v>1</v>
      </c>
      <c r="Q116" s="7">
        <v>2</v>
      </c>
      <c r="R116" s="7">
        <v>1</v>
      </c>
      <c r="S116" s="7">
        <f t="shared" si="22"/>
        <v>226</v>
      </c>
      <c r="T116" s="112">
        <f t="shared" si="21"/>
        <v>904</v>
      </c>
      <c r="U116" s="7">
        <f t="shared" si="14"/>
        <v>802</v>
      </c>
      <c r="V116" s="10">
        <f t="shared" si="15"/>
        <v>304</v>
      </c>
      <c r="W116" s="8">
        <f t="shared" si="16"/>
        <v>0.72513562386980113</v>
      </c>
      <c r="X116" s="8">
        <f t="shared" si="17"/>
        <v>0.27486437613019893</v>
      </c>
      <c r="Y116" s="8">
        <f t="shared" si="23"/>
        <v>0.5207956600361664</v>
      </c>
      <c r="Z116" s="8">
        <f t="shared" si="18"/>
        <v>0.5207956600361664</v>
      </c>
      <c r="AA116" s="8">
        <f t="shared" si="19"/>
        <v>0.20433996383363473</v>
      </c>
    </row>
    <row r="117" spans="1:30">
      <c r="A117" s="1">
        <v>114</v>
      </c>
      <c r="B117" s="22" t="s">
        <v>163</v>
      </c>
      <c r="C117" s="22" t="s">
        <v>180</v>
      </c>
      <c r="D117" s="6"/>
      <c r="E117" s="20">
        <v>647</v>
      </c>
      <c r="F117" s="20">
        <v>2168</v>
      </c>
      <c r="G117" s="18">
        <f>732-85</f>
        <v>647</v>
      </c>
      <c r="H117" s="7"/>
      <c r="I117" s="7">
        <f t="shared" si="13"/>
        <v>647</v>
      </c>
      <c r="J117" s="112">
        <f t="shared" si="20"/>
        <v>2588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f t="shared" si="22"/>
        <v>0</v>
      </c>
      <c r="T117" s="112">
        <f t="shared" si="21"/>
        <v>0</v>
      </c>
      <c r="U117" s="7">
        <f t="shared" si="14"/>
        <v>647</v>
      </c>
      <c r="V117" s="31">
        <f t="shared" si="15"/>
        <v>0</v>
      </c>
      <c r="W117" s="8">
        <f t="shared" si="16"/>
        <v>1</v>
      </c>
      <c r="X117" s="8">
        <f t="shared" si="17"/>
        <v>0</v>
      </c>
      <c r="Y117" s="8">
        <f t="shared" si="23"/>
        <v>1</v>
      </c>
      <c r="Z117" s="8">
        <f t="shared" si="18"/>
        <v>1</v>
      </c>
      <c r="AA117" s="8">
        <f t="shared" si="19"/>
        <v>0</v>
      </c>
    </row>
    <row r="118" spans="1:30">
      <c r="A118" s="1">
        <v>115</v>
      </c>
      <c r="B118" s="22" t="s">
        <v>163</v>
      </c>
      <c r="C118" s="22" t="s">
        <v>171</v>
      </c>
      <c r="D118" s="6" t="s">
        <v>172</v>
      </c>
      <c r="E118" s="20">
        <v>485</v>
      </c>
      <c r="F118" s="20">
        <v>1502</v>
      </c>
      <c r="G118" s="11"/>
      <c r="H118" s="92">
        <v>222</v>
      </c>
      <c r="I118" s="7">
        <f t="shared" si="13"/>
        <v>222</v>
      </c>
      <c r="J118" s="112">
        <f t="shared" si="20"/>
        <v>888</v>
      </c>
      <c r="K118" s="7">
        <v>0</v>
      </c>
      <c r="L118" s="7">
        <v>40</v>
      </c>
      <c r="M118" s="7">
        <v>195</v>
      </c>
      <c r="N118" s="7">
        <v>0</v>
      </c>
      <c r="O118" s="95">
        <f>2+66+123-166</f>
        <v>25</v>
      </c>
      <c r="P118" s="7">
        <v>1</v>
      </c>
      <c r="Q118" s="7">
        <v>1</v>
      </c>
      <c r="R118" s="7">
        <v>1</v>
      </c>
      <c r="S118" s="7">
        <f t="shared" si="22"/>
        <v>263</v>
      </c>
      <c r="T118" s="112">
        <f t="shared" si="21"/>
        <v>1052</v>
      </c>
      <c r="U118" s="7">
        <f t="shared" si="14"/>
        <v>485</v>
      </c>
      <c r="V118" s="10">
        <f t="shared" si="15"/>
        <v>0</v>
      </c>
      <c r="W118" s="8">
        <f t="shared" si="16"/>
        <v>1</v>
      </c>
      <c r="X118" s="8">
        <f t="shared" si="17"/>
        <v>0</v>
      </c>
      <c r="Y118" s="8">
        <f t="shared" si="23"/>
        <v>0</v>
      </c>
      <c r="Z118" s="8">
        <f t="shared" si="18"/>
        <v>0.45773195876288658</v>
      </c>
      <c r="AA118" s="8">
        <f t="shared" si="19"/>
        <v>0.54226804123711336</v>
      </c>
      <c r="AB118">
        <v>721</v>
      </c>
      <c r="AC118">
        <v>647</v>
      </c>
      <c r="AD118">
        <f>AB118-AC118</f>
        <v>74</v>
      </c>
    </row>
    <row r="119" spans="1:30">
      <c r="A119" s="1">
        <v>116</v>
      </c>
      <c r="B119" s="22" t="s">
        <v>163</v>
      </c>
      <c r="C119" s="22" t="s">
        <v>168</v>
      </c>
      <c r="D119" s="6">
        <v>44776</v>
      </c>
      <c r="E119" s="20">
        <v>531</v>
      </c>
      <c r="F119" s="20">
        <v>1623</v>
      </c>
      <c r="G119" s="7"/>
      <c r="H119" s="7"/>
      <c r="I119" s="7">
        <f t="shared" si="13"/>
        <v>0</v>
      </c>
      <c r="J119" s="112">
        <f t="shared" si="20"/>
        <v>0</v>
      </c>
      <c r="K119" s="7">
        <v>0</v>
      </c>
      <c r="L119" s="7">
        <v>114</v>
      </c>
      <c r="M119" s="7">
        <v>0</v>
      </c>
      <c r="N119" s="7">
        <v>118</v>
      </c>
      <c r="O119" s="7">
        <v>2</v>
      </c>
      <c r="P119" s="7">
        <v>4</v>
      </c>
      <c r="Q119" s="7">
        <v>2</v>
      </c>
      <c r="R119" s="7">
        <v>4</v>
      </c>
      <c r="S119" s="7">
        <f t="shared" si="22"/>
        <v>244</v>
      </c>
      <c r="T119" s="112">
        <f t="shared" si="21"/>
        <v>976</v>
      </c>
      <c r="U119" s="7">
        <f t="shared" si="14"/>
        <v>244</v>
      </c>
      <c r="V119" s="10">
        <f t="shared" si="15"/>
        <v>287</v>
      </c>
      <c r="W119" s="8">
        <f t="shared" si="16"/>
        <v>0.45951035781544258</v>
      </c>
      <c r="X119" s="8">
        <f t="shared" si="17"/>
        <v>0.54048964218455742</v>
      </c>
      <c r="Y119" s="8">
        <f t="shared" si="23"/>
        <v>0</v>
      </c>
      <c r="Z119" s="8">
        <f t="shared" si="18"/>
        <v>0</v>
      </c>
      <c r="AA119" s="8">
        <f t="shared" si="19"/>
        <v>0.45951035781544258</v>
      </c>
    </row>
    <row r="120" spans="1:30">
      <c r="A120" s="1">
        <v>117</v>
      </c>
      <c r="B120" s="22" t="s">
        <v>163</v>
      </c>
      <c r="C120" s="24" t="s">
        <v>227</v>
      </c>
      <c r="D120" s="6">
        <v>44835</v>
      </c>
      <c r="E120" s="20">
        <v>1025</v>
      </c>
      <c r="F120" s="20">
        <v>3031</v>
      </c>
      <c r="G120" s="92">
        <v>5</v>
      </c>
      <c r="H120" s="92">
        <v>260</v>
      </c>
      <c r="I120" s="7">
        <f t="shared" si="13"/>
        <v>265</v>
      </c>
      <c r="J120" s="112">
        <f t="shared" si="20"/>
        <v>1060</v>
      </c>
      <c r="K120" s="7">
        <v>2</v>
      </c>
      <c r="L120" s="7">
        <v>0</v>
      </c>
      <c r="M120" s="7">
        <v>0</v>
      </c>
      <c r="N120" s="7">
        <v>0</v>
      </c>
      <c r="O120" s="100">
        <f>93+124+61-100</f>
        <v>178</v>
      </c>
      <c r="P120" s="7">
        <v>6</v>
      </c>
      <c r="Q120" s="7">
        <v>0</v>
      </c>
      <c r="R120" s="7">
        <v>0</v>
      </c>
      <c r="S120" s="7">
        <f t="shared" si="22"/>
        <v>186</v>
      </c>
      <c r="T120" s="112">
        <f t="shared" si="21"/>
        <v>744</v>
      </c>
      <c r="U120" s="7">
        <f t="shared" si="14"/>
        <v>451</v>
      </c>
      <c r="V120" s="10">
        <f t="shared" si="15"/>
        <v>574</v>
      </c>
      <c r="W120" s="8">
        <f t="shared" si="16"/>
        <v>0.44</v>
      </c>
      <c r="X120" s="8">
        <f t="shared" si="17"/>
        <v>0.56000000000000005</v>
      </c>
      <c r="Y120" s="8">
        <f t="shared" si="23"/>
        <v>4.8780487804878049E-3</v>
      </c>
      <c r="Z120" s="8">
        <f t="shared" si="18"/>
        <v>0.25853658536585367</v>
      </c>
      <c r="AA120" s="8">
        <f t="shared" si="19"/>
        <v>0.18146341463414634</v>
      </c>
    </row>
    <row r="121" spans="1:30">
      <c r="A121" s="1">
        <v>118</v>
      </c>
      <c r="B121" s="22" t="s">
        <v>163</v>
      </c>
      <c r="C121" s="22" t="s">
        <v>179</v>
      </c>
      <c r="D121" s="6" t="s">
        <v>6</v>
      </c>
      <c r="E121" s="20">
        <v>178</v>
      </c>
      <c r="F121" s="20">
        <v>591</v>
      </c>
      <c r="G121" s="18">
        <v>5</v>
      </c>
      <c r="H121" s="7"/>
      <c r="I121" s="7">
        <f t="shared" si="13"/>
        <v>5</v>
      </c>
      <c r="J121" s="112">
        <f t="shared" si="20"/>
        <v>20</v>
      </c>
      <c r="K121" s="7">
        <v>4</v>
      </c>
      <c r="L121" s="7">
        <v>16</v>
      </c>
      <c r="M121" s="18">
        <v>50</v>
      </c>
      <c r="N121" s="7">
        <v>0</v>
      </c>
      <c r="O121" s="95">
        <v>100</v>
      </c>
      <c r="P121" s="7">
        <v>0</v>
      </c>
      <c r="Q121" s="7">
        <v>2</v>
      </c>
      <c r="R121" s="7">
        <v>0</v>
      </c>
      <c r="S121" s="7">
        <f t="shared" si="22"/>
        <v>172</v>
      </c>
      <c r="T121" s="112">
        <f t="shared" si="21"/>
        <v>688</v>
      </c>
      <c r="U121" s="7">
        <f t="shared" si="14"/>
        <v>177</v>
      </c>
      <c r="V121" s="31">
        <f t="shared" si="15"/>
        <v>1</v>
      </c>
      <c r="W121" s="8">
        <f t="shared" si="16"/>
        <v>0.9943820224719101</v>
      </c>
      <c r="X121" s="8">
        <f t="shared" si="17"/>
        <v>5.6179775280898875E-3</v>
      </c>
      <c r="Y121" s="8">
        <f t="shared" si="23"/>
        <v>2.8089887640449437E-2</v>
      </c>
      <c r="Z121" s="8">
        <f t="shared" si="18"/>
        <v>2.8089887640449437E-2</v>
      </c>
      <c r="AA121" s="8">
        <f t="shared" si="19"/>
        <v>0.9662921348314607</v>
      </c>
    </row>
    <row r="122" spans="1:30">
      <c r="A122" s="1">
        <v>119</v>
      </c>
      <c r="B122" s="22" t="s">
        <v>163</v>
      </c>
      <c r="C122" s="24" t="s">
        <v>174</v>
      </c>
      <c r="D122" s="6">
        <v>44866</v>
      </c>
      <c r="E122" s="20">
        <v>496</v>
      </c>
      <c r="F122" s="20">
        <v>1523</v>
      </c>
      <c r="G122" s="7"/>
      <c r="H122" s="92">
        <v>164</v>
      </c>
      <c r="I122" s="7">
        <f t="shared" si="13"/>
        <v>164</v>
      </c>
      <c r="J122" s="112">
        <f t="shared" si="20"/>
        <v>656</v>
      </c>
      <c r="K122" s="7">
        <v>5</v>
      </c>
      <c r="L122" s="7">
        <v>9</v>
      </c>
      <c r="M122" s="7">
        <v>2</v>
      </c>
      <c r="N122" s="7">
        <v>0</v>
      </c>
      <c r="O122" s="95">
        <v>46</v>
      </c>
      <c r="P122" s="7">
        <v>4</v>
      </c>
      <c r="Q122" s="7">
        <v>7</v>
      </c>
      <c r="R122" s="7">
        <v>2</v>
      </c>
      <c r="S122" s="7">
        <f t="shared" si="22"/>
        <v>75</v>
      </c>
      <c r="T122" s="112">
        <f t="shared" si="21"/>
        <v>300</v>
      </c>
      <c r="U122" s="7">
        <f t="shared" si="14"/>
        <v>239</v>
      </c>
      <c r="V122" s="10">
        <f t="shared" si="15"/>
        <v>257</v>
      </c>
      <c r="W122" s="8">
        <f t="shared" si="16"/>
        <v>0.48185483870967744</v>
      </c>
      <c r="X122" s="8">
        <f t="shared" si="17"/>
        <v>0.51814516129032262</v>
      </c>
      <c r="Y122" s="8">
        <f t="shared" si="23"/>
        <v>0</v>
      </c>
      <c r="Z122" s="8">
        <f t="shared" si="18"/>
        <v>0.33064516129032256</v>
      </c>
      <c r="AA122" s="8">
        <f t="shared" si="19"/>
        <v>0.15120967741935484</v>
      </c>
    </row>
    <row r="123" spans="1:30">
      <c r="A123" s="1">
        <v>120</v>
      </c>
      <c r="B123" s="22" t="s">
        <v>163</v>
      </c>
      <c r="C123" s="22" t="s">
        <v>173</v>
      </c>
      <c r="D123" s="6">
        <v>44562</v>
      </c>
      <c r="E123" s="20">
        <v>1197</v>
      </c>
      <c r="F123" s="20">
        <v>3494</v>
      </c>
      <c r="G123" s="18">
        <v>87</v>
      </c>
      <c r="H123" s="7"/>
      <c r="I123" s="7">
        <f t="shared" si="13"/>
        <v>87</v>
      </c>
      <c r="J123" s="112">
        <f t="shared" si="20"/>
        <v>348</v>
      </c>
      <c r="K123" s="7">
        <v>0</v>
      </c>
      <c r="L123" s="17">
        <v>500</v>
      </c>
      <c r="M123" s="7">
        <v>25</v>
      </c>
      <c r="N123" s="7">
        <v>0</v>
      </c>
      <c r="O123" s="95">
        <f>15+93+168+83</f>
        <v>359</v>
      </c>
      <c r="P123" s="7">
        <v>0</v>
      </c>
      <c r="Q123" s="7">
        <v>5</v>
      </c>
      <c r="R123" s="7">
        <v>0</v>
      </c>
      <c r="S123" s="7">
        <f t="shared" si="22"/>
        <v>889</v>
      </c>
      <c r="T123" s="112">
        <f t="shared" si="21"/>
        <v>3556</v>
      </c>
      <c r="U123" s="7">
        <f t="shared" si="14"/>
        <v>976</v>
      </c>
      <c r="V123" s="31">
        <f t="shared" si="15"/>
        <v>221</v>
      </c>
      <c r="W123" s="8">
        <f t="shared" si="16"/>
        <v>0.81537176274018375</v>
      </c>
      <c r="X123" s="8">
        <f t="shared" si="17"/>
        <v>0.1846282372598162</v>
      </c>
      <c r="Y123" s="8">
        <f t="shared" si="23"/>
        <v>7.2681704260651625E-2</v>
      </c>
      <c r="Z123" s="8">
        <f t="shared" si="18"/>
        <v>7.2681704260651625E-2</v>
      </c>
      <c r="AA123" s="8">
        <f t="shared" si="19"/>
        <v>0.74269005847953218</v>
      </c>
    </row>
    <row r="124" spans="1:30">
      <c r="A124" s="1">
        <v>121</v>
      </c>
      <c r="B124" s="22" t="s">
        <v>163</v>
      </c>
      <c r="C124" s="22" t="s">
        <v>178</v>
      </c>
      <c r="D124" s="6">
        <v>44870</v>
      </c>
      <c r="E124" s="20">
        <v>222</v>
      </c>
      <c r="F124" s="20">
        <v>671</v>
      </c>
      <c r="G124" s="7"/>
      <c r="H124" s="7"/>
      <c r="I124" s="7">
        <f t="shared" si="13"/>
        <v>0</v>
      </c>
      <c r="J124" s="112">
        <f t="shared" si="20"/>
        <v>0</v>
      </c>
      <c r="K124" s="7">
        <v>0</v>
      </c>
      <c r="L124" s="7">
        <v>10</v>
      </c>
      <c r="M124" s="7">
        <v>0</v>
      </c>
      <c r="N124" s="7">
        <f>155-20</f>
        <v>135</v>
      </c>
      <c r="O124" s="96">
        <f>56+55-75</f>
        <v>36</v>
      </c>
      <c r="P124" s="7">
        <v>1</v>
      </c>
      <c r="Q124" s="7">
        <v>20</v>
      </c>
      <c r="R124" s="7">
        <v>0</v>
      </c>
      <c r="S124" s="7">
        <f t="shared" si="22"/>
        <v>202</v>
      </c>
      <c r="T124" s="112">
        <f t="shared" si="21"/>
        <v>808</v>
      </c>
      <c r="U124" s="7">
        <f t="shared" si="14"/>
        <v>202</v>
      </c>
      <c r="V124" s="10">
        <f t="shared" si="15"/>
        <v>20</v>
      </c>
      <c r="W124" s="8">
        <f t="shared" si="16"/>
        <v>0.90990990990990994</v>
      </c>
      <c r="X124" s="8">
        <f t="shared" si="17"/>
        <v>9.0090090090090086E-2</v>
      </c>
      <c r="Y124" s="8">
        <f t="shared" si="23"/>
        <v>0</v>
      </c>
      <c r="Z124" s="8">
        <f t="shared" si="18"/>
        <v>0</v>
      </c>
      <c r="AA124" s="8">
        <f t="shared" si="19"/>
        <v>0.90990990990990994</v>
      </c>
    </row>
    <row r="125" spans="1:30">
      <c r="A125" s="1">
        <v>122</v>
      </c>
      <c r="B125" s="22" t="s">
        <v>181</v>
      </c>
      <c r="C125" s="22" t="s">
        <v>182</v>
      </c>
      <c r="D125" s="6" t="s">
        <v>183</v>
      </c>
      <c r="E125" s="20">
        <v>908</v>
      </c>
      <c r="F125" s="20">
        <v>2761</v>
      </c>
      <c r="G125" s="18">
        <v>398</v>
      </c>
      <c r="H125" s="7"/>
      <c r="I125" s="7">
        <f>H125+G125</f>
        <v>398</v>
      </c>
      <c r="J125" s="112">
        <f t="shared" si="20"/>
        <v>1592</v>
      </c>
      <c r="K125" s="7">
        <v>0</v>
      </c>
      <c r="L125" s="7">
        <v>120</v>
      </c>
      <c r="M125" s="7">
        <v>0</v>
      </c>
      <c r="N125" s="32">
        <v>50</v>
      </c>
      <c r="O125" s="95">
        <f>3+111</f>
        <v>114</v>
      </c>
      <c r="P125" s="7">
        <v>0</v>
      </c>
      <c r="Q125" s="7">
        <v>0</v>
      </c>
      <c r="R125" s="7">
        <v>0</v>
      </c>
      <c r="S125" s="7">
        <f t="shared" si="22"/>
        <v>284</v>
      </c>
      <c r="T125" s="112">
        <f t="shared" si="21"/>
        <v>1136</v>
      </c>
      <c r="U125" s="7">
        <f t="shared" si="14"/>
        <v>682</v>
      </c>
      <c r="V125" s="10">
        <f t="shared" si="15"/>
        <v>226</v>
      </c>
      <c r="W125" s="8">
        <f t="shared" si="16"/>
        <v>0.75110132158590304</v>
      </c>
      <c r="X125" s="8">
        <f t="shared" si="17"/>
        <v>0.24889867841409691</v>
      </c>
      <c r="Y125" s="8">
        <f t="shared" si="23"/>
        <v>0.43832599118942733</v>
      </c>
      <c r="Z125" s="8">
        <f t="shared" si="18"/>
        <v>0.43832599118942733</v>
      </c>
      <c r="AA125" s="8">
        <f t="shared" si="19"/>
        <v>0.31277533039647576</v>
      </c>
    </row>
    <row r="126" spans="1:30">
      <c r="A126" s="1">
        <v>123</v>
      </c>
      <c r="B126" s="22" t="s">
        <v>181</v>
      </c>
      <c r="C126" s="22" t="s">
        <v>191</v>
      </c>
      <c r="D126" s="6">
        <v>44621</v>
      </c>
      <c r="E126" s="20">
        <v>2397</v>
      </c>
      <c r="F126" s="20">
        <v>7695</v>
      </c>
      <c r="G126" s="18">
        <v>1906</v>
      </c>
      <c r="H126" s="7"/>
      <c r="I126" s="7">
        <f t="shared" ref="I126:I147" si="24">H126+G126</f>
        <v>1906</v>
      </c>
      <c r="J126" s="112">
        <f t="shared" si="20"/>
        <v>7624</v>
      </c>
      <c r="K126" s="7">
        <v>25</v>
      </c>
      <c r="L126" s="7">
        <v>5</v>
      </c>
      <c r="M126" s="7">
        <v>0</v>
      </c>
      <c r="N126" s="7">
        <v>0</v>
      </c>
      <c r="O126" s="95">
        <f>4+166</f>
        <v>170</v>
      </c>
      <c r="P126" s="7">
        <v>2</v>
      </c>
      <c r="Q126" s="7">
        <v>3</v>
      </c>
      <c r="R126" s="7">
        <v>0</v>
      </c>
      <c r="S126" s="7">
        <f t="shared" si="22"/>
        <v>205</v>
      </c>
      <c r="T126" s="112">
        <f t="shared" si="21"/>
        <v>820</v>
      </c>
      <c r="U126" s="7">
        <f t="shared" si="14"/>
        <v>2111</v>
      </c>
      <c r="V126" s="10">
        <f t="shared" si="15"/>
        <v>286</v>
      </c>
      <c r="W126" s="8">
        <f t="shared" si="16"/>
        <v>0.88068418856904462</v>
      </c>
      <c r="X126" s="8">
        <f t="shared" si="17"/>
        <v>0.11931581143095536</v>
      </c>
      <c r="Y126" s="8">
        <f t="shared" si="23"/>
        <v>0.79516061743846478</v>
      </c>
      <c r="Z126" s="8">
        <f t="shared" si="18"/>
        <v>0.79516061743846478</v>
      </c>
      <c r="AA126" s="8">
        <f t="shared" si="19"/>
        <v>8.5523571130579887E-2</v>
      </c>
    </row>
    <row r="127" spans="1:30">
      <c r="A127" s="1">
        <v>124</v>
      </c>
      <c r="B127" s="22" t="s">
        <v>181</v>
      </c>
      <c r="C127" s="23" t="s">
        <v>194</v>
      </c>
      <c r="D127" s="6" t="s">
        <v>195</v>
      </c>
      <c r="E127" s="20">
        <v>1146</v>
      </c>
      <c r="F127" s="20">
        <v>3434</v>
      </c>
      <c r="G127" s="7"/>
      <c r="H127" s="7"/>
      <c r="I127" s="7">
        <f t="shared" si="24"/>
        <v>0</v>
      </c>
      <c r="J127" s="112">
        <f t="shared" si="20"/>
        <v>0</v>
      </c>
      <c r="K127" s="7">
        <v>9</v>
      </c>
      <c r="L127" s="7">
        <v>0</v>
      </c>
      <c r="M127" s="7">
        <v>0</v>
      </c>
      <c r="N127" s="7">
        <v>5</v>
      </c>
      <c r="O127" s="7">
        <v>0</v>
      </c>
      <c r="P127" s="7">
        <v>0</v>
      </c>
      <c r="Q127" s="7">
        <v>0</v>
      </c>
      <c r="R127" s="7">
        <v>0</v>
      </c>
      <c r="S127" s="7">
        <f t="shared" si="22"/>
        <v>14</v>
      </c>
      <c r="T127" s="112">
        <f t="shared" si="21"/>
        <v>56</v>
      </c>
      <c r="U127" s="7">
        <f t="shared" si="14"/>
        <v>14</v>
      </c>
      <c r="V127" s="10">
        <f t="shared" si="15"/>
        <v>1132</v>
      </c>
      <c r="W127" s="8">
        <f t="shared" si="16"/>
        <v>1.2216404886561954E-2</v>
      </c>
      <c r="X127" s="8">
        <f t="shared" si="17"/>
        <v>0.98778359511343805</v>
      </c>
      <c r="Y127" s="8">
        <f t="shared" si="23"/>
        <v>0</v>
      </c>
      <c r="Z127" s="8">
        <f t="shared" si="18"/>
        <v>0</v>
      </c>
      <c r="AA127" s="8">
        <f t="shared" si="19"/>
        <v>1.2216404886561954E-2</v>
      </c>
    </row>
    <row r="128" spans="1:30">
      <c r="A128" s="1">
        <v>125</v>
      </c>
      <c r="B128" s="22" t="s">
        <v>181</v>
      </c>
      <c r="C128" s="22" t="s">
        <v>192</v>
      </c>
      <c r="D128" s="6" t="s">
        <v>193</v>
      </c>
      <c r="E128" s="20">
        <v>1272</v>
      </c>
      <c r="F128" s="20">
        <v>3955</v>
      </c>
      <c r="G128" s="18">
        <v>788</v>
      </c>
      <c r="H128" s="7"/>
      <c r="I128" s="7">
        <f t="shared" si="24"/>
        <v>788</v>
      </c>
      <c r="J128" s="112">
        <f t="shared" si="20"/>
        <v>3152</v>
      </c>
      <c r="K128" s="7">
        <v>2</v>
      </c>
      <c r="L128" s="7">
        <v>13</v>
      </c>
      <c r="M128" s="7">
        <v>0</v>
      </c>
      <c r="N128" s="7">
        <v>0</v>
      </c>
      <c r="O128" s="95">
        <v>66</v>
      </c>
      <c r="P128" s="7">
        <v>1</v>
      </c>
      <c r="Q128" s="7">
        <v>0</v>
      </c>
      <c r="R128" s="7">
        <v>0</v>
      </c>
      <c r="S128" s="7">
        <f t="shared" si="22"/>
        <v>82</v>
      </c>
      <c r="T128" s="112">
        <f t="shared" si="21"/>
        <v>328</v>
      </c>
      <c r="U128" s="7">
        <f t="shared" si="14"/>
        <v>870</v>
      </c>
      <c r="V128" s="10">
        <f t="shared" si="15"/>
        <v>402</v>
      </c>
      <c r="W128" s="8">
        <f t="shared" si="16"/>
        <v>0.68396226415094341</v>
      </c>
      <c r="X128" s="8">
        <f t="shared" si="17"/>
        <v>0.31603773584905659</v>
      </c>
      <c r="Y128" s="8">
        <f t="shared" si="23"/>
        <v>0.61949685534591192</v>
      </c>
      <c r="Z128" s="8">
        <f t="shared" si="18"/>
        <v>0.61949685534591192</v>
      </c>
      <c r="AA128" s="8">
        <f t="shared" si="19"/>
        <v>6.4465408805031446E-2</v>
      </c>
    </row>
    <row r="129" spans="1:27">
      <c r="A129" s="1">
        <v>126</v>
      </c>
      <c r="B129" s="22" t="s">
        <v>181</v>
      </c>
      <c r="C129" s="23" t="s">
        <v>188</v>
      </c>
      <c r="D129" s="6">
        <v>44501</v>
      </c>
      <c r="E129" s="20">
        <v>335</v>
      </c>
      <c r="F129" s="20">
        <v>1042</v>
      </c>
      <c r="G129" s="18">
        <v>27</v>
      </c>
      <c r="H129" s="7"/>
      <c r="I129" s="7">
        <f t="shared" si="24"/>
        <v>27</v>
      </c>
      <c r="J129" s="112">
        <f t="shared" si="20"/>
        <v>108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3</v>
      </c>
      <c r="Q129" s="7">
        <v>0</v>
      </c>
      <c r="R129" s="7">
        <v>0</v>
      </c>
      <c r="S129" s="7">
        <f t="shared" si="22"/>
        <v>3</v>
      </c>
      <c r="T129" s="112">
        <f t="shared" si="21"/>
        <v>12</v>
      </c>
      <c r="U129" s="7">
        <f t="shared" si="14"/>
        <v>30</v>
      </c>
      <c r="V129" s="10">
        <f t="shared" si="15"/>
        <v>305</v>
      </c>
      <c r="W129" s="8">
        <f t="shared" si="16"/>
        <v>8.9552238805970144E-2</v>
      </c>
      <c r="X129" s="8">
        <f t="shared" si="17"/>
        <v>0.91044776119402981</v>
      </c>
      <c r="Y129" s="8">
        <f t="shared" si="23"/>
        <v>8.0597014925373134E-2</v>
      </c>
      <c r="Z129" s="8">
        <f t="shared" si="18"/>
        <v>8.0597014925373134E-2</v>
      </c>
      <c r="AA129" s="8">
        <f t="shared" si="19"/>
        <v>8.9552238805970154E-3</v>
      </c>
    </row>
    <row r="130" spans="1:27">
      <c r="A130" s="1">
        <v>127</v>
      </c>
      <c r="B130" s="22" t="s">
        <v>181</v>
      </c>
      <c r="C130" s="23" t="s">
        <v>196</v>
      </c>
      <c r="D130" s="6">
        <v>44470</v>
      </c>
      <c r="E130" s="20">
        <v>176</v>
      </c>
      <c r="F130" s="20">
        <v>526</v>
      </c>
      <c r="G130" s="7"/>
      <c r="H130" s="7"/>
      <c r="I130" s="7">
        <f t="shared" si="24"/>
        <v>0</v>
      </c>
      <c r="J130" s="112">
        <f t="shared" si="20"/>
        <v>0</v>
      </c>
      <c r="K130" s="7">
        <v>0</v>
      </c>
      <c r="L130" s="7">
        <v>2</v>
      </c>
      <c r="M130" s="7">
        <v>0</v>
      </c>
      <c r="N130" s="7">
        <v>0</v>
      </c>
      <c r="O130" s="95">
        <f>8+92</f>
        <v>100</v>
      </c>
      <c r="P130" s="7">
        <v>1</v>
      </c>
      <c r="Q130" s="7">
        <v>1</v>
      </c>
      <c r="R130" s="7">
        <v>2</v>
      </c>
      <c r="S130" s="7">
        <f t="shared" si="22"/>
        <v>106</v>
      </c>
      <c r="T130" s="112">
        <f t="shared" si="21"/>
        <v>424</v>
      </c>
      <c r="U130" s="7">
        <f t="shared" si="14"/>
        <v>106</v>
      </c>
      <c r="V130" s="10">
        <f t="shared" si="15"/>
        <v>70</v>
      </c>
      <c r="W130" s="8">
        <f t="shared" si="16"/>
        <v>0.60227272727272729</v>
      </c>
      <c r="X130" s="8">
        <f t="shared" si="17"/>
        <v>0.39772727272727271</v>
      </c>
      <c r="Y130" s="8">
        <f t="shared" si="23"/>
        <v>0</v>
      </c>
      <c r="Z130" s="8">
        <f t="shared" si="18"/>
        <v>0</v>
      </c>
      <c r="AA130" s="8">
        <f t="shared" si="19"/>
        <v>0.60227272727272729</v>
      </c>
    </row>
    <row r="131" spans="1:27">
      <c r="A131" s="1">
        <v>128</v>
      </c>
      <c r="B131" s="22" t="s">
        <v>181</v>
      </c>
      <c r="C131" s="23" t="s">
        <v>197</v>
      </c>
      <c r="D131" s="6" t="s">
        <v>198</v>
      </c>
      <c r="E131" s="20">
        <v>290</v>
      </c>
      <c r="F131" s="20">
        <v>1008</v>
      </c>
      <c r="G131" s="7"/>
      <c r="H131" s="7"/>
      <c r="I131" s="7">
        <f t="shared" si="24"/>
        <v>0</v>
      </c>
      <c r="J131" s="112">
        <f t="shared" si="20"/>
        <v>0</v>
      </c>
      <c r="K131" s="7">
        <v>0</v>
      </c>
      <c r="L131" s="7">
        <v>2</v>
      </c>
      <c r="M131" s="7">
        <v>0</v>
      </c>
      <c r="N131" s="7">
        <v>0</v>
      </c>
      <c r="O131" s="7">
        <v>1</v>
      </c>
      <c r="P131" s="7">
        <v>0</v>
      </c>
      <c r="Q131" s="7">
        <v>0</v>
      </c>
      <c r="R131" s="7">
        <v>0</v>
      </c>
      <c r="S131" s="7">
        <f t="shared" si="22"/>
        <v>3</v>
      </c>
      <c r="T131" s="112">
        <f t="shared" si="21"/>
        <v>12</v>
      </c>
      <c r="U131" s="7">
        <f t="shared" si="14"/>
        <v>3</v>
      </c>
      <c r="V131" s="10">
        <f t="shared" si="15"/>
        <v>287</v>
      </c>
      <c r="W131" s="8">
        <f t="shared" si="16"/>
        <v>1.0344827586206896E-2</v>
      </c>
      <c r="X131" s="8">
        <f t="shared" si="17"/>
        <v>0.98965517241379308</v>
      </c>
      <c r="Y131" s="8">
        <f t="shared" si="23"/>
        <v>0</v>
      </c>
      <c r="Z131" s="8">
        <f t="shared" si="18"/>
        <v>0</v>
      </c>
      <c r="AA131" s="8">
        <f t="shared" si="19"/>
        <v>1.0344827586206896E-2</v>
      </c>
    </row>
    <row r="132" spans="1:27">
      <c r="A132" s="1">
        <v>129</v>
      </c>
      <c r="B132" s="22" t="s">
        <v>181</v>
      </c>
      <c r="C132" s="22" t="s">
        <v>190</v>
      </c>
      <c r="D132" s="6">
        <v>44899</v>
      </c>
      <c r="E132" s="20">
        <v>464</v>
      </c>
      <c r="F132" s="20">
        <v>1495</v>
      </c>
      <c r="G132" s="92">
        <v>46</v>
      </c>
      <c r="H132" s="7"/>
      <c r="I132" s="7">
        <f t="shared" si="24"/>
        <v>46</v>
      </c>
      <c r="J132" s="112">
        <f t="shared" si="20"/>
        <v>184</v>
      </c>
      <c r="K132" s="7">
        <v>0</v>
      </c>
      <c r="L132" s="7">
        <v>200</v>
      </c>
      <c r="M132" s="7">
        <v>0</v>
      </c>
      <c r="N132" s="7">
        <v>100</v>
      </c>
      <c r="O132" s="7">
        <v>0</v>
      </c>
      <c r="P132" s="7">
        <v>0</v>
      </c>
      <c r="Q132" s="7">
        <v>1</v>
      </c>
      <c r="R132" s="7">
        <v>0</v>
      </c>
      <c r="S132" s="7">
        <f t="shared" si="22"/>
        <v>301</v>
      </c>
      <c r="T132" s="112">
        <f t="shared" si="21"/>
        <v>1204</v>
      </c>
      <c r="U132" s="7">
        <f t="shared" ref="U132:U147" si="25">S132+I132</f>
        <v>347</v>
      </c>
      <c r="V132" s="10">
        <f t="shared" ref="V132:V147" si="26">E132-U132</f>
        <v>117</v>
      </c>
      <c r="W132" s="8">
        <f t="shared" ref="W132:W147" si="27">U132/E132</f>
        <v>0.74784482758620685</v>
      </c>
      <c r="X132" s="8">
        <f t="shared" ref="X132:X147" si="28">V132/E132</f>
        <v>0.25215517241379309</v>
      </c>
      <c r="Y132" s="8">
        <f t="shared" si="23"/>
        <v>9.9137931034482762E-2</v>
      </c>
      <c r="Z132" s="8">
        <f t="shared" ref="Z132:Z147" si="29">I132/E132</f>
        <v>9.9137931034482762E-2</v>
      </c>
      <c r="AA132" s="8">
        <f t="shared" ref="AA132:AA147" si="30">S132/E132</f>
        <v>0.64870689655172409</v>
      </c>
    </row>
    <row r="133" spans="1:27">
      <c r="A133" s="1">
        <v>130</v>
      </c>
      <c r="B133" s="22" t="s">
        <v>181</v>
      </c>
      <c r="C133" s="22" t="s">
        <v>184</v>
      </c>
      <c r="D133" s="6" t="s">
        <v>150</v>
      </c>
      <c r="E133" s="20">
        <v>628</v>
      </c>
      <c r="F133" s="20">
        <v>1869</v>
      </c>
      <c r="G133" s="92">
        <v>465</v>
      </c>
      <c r="H133" s="7"/>
      <c r="I133" s="7">
        <f t="shared" si="24"/>
        <v>465</v>
      </c>
      <c r="J133" s="112">
        <f t="shared" ref="J133:J148" si="31">I133*4</f>
        <v>1860</v>
      </c>
      <c r="K133" s="7">
        <v>0</v>
      </c>
      <c r="L133" s="7">
        <v>25</v>
      </c>
      <c r="M133" s="7">
        <v>0</v>
      </c>
      <c r="N133" s="7">
        <v>0</v>
      </c>
      <c r="O133" s="95">
        <v>83</v>
      </c>
      <c r="P133" s="7">
        <v>0</v>
      </c>
      <c r="Q133" s="7">
        <v>0</v>
      </c>
      <c r="R133" s="7">
        <v>0</v>
      </c>
      <c r="S133" s="7">
        <f t="shared" si="22"/>
        <v>108</v>
      </c>
      <c r="T133" s="112">
        <f t="shared" ref="T133:T148" si="32">S133*4</f>
        <v>432</v>
      </c>
      <c r="U133" s="7">
        <f t="shared" si="25"/>
        <v>573</v>
      </c>
      <c r="V133" s="10">
        <f t="shared" si="26"/>
        <v>55</v>
      </c>
      <c r="W133" s="8">
        <f t="shared" si="27"/>
        <v>0.91242038216560506</v>
      </c>
      <c r="X133" s="8">
        <f t="shared" si="28"/>
        <v>8.7579617834394899E-2</v>
      </c>
      <c r="Y133" s="8">
        <f t="shared" si="23"/>
        <v>0.74044585987261147</v>
      </c>
      <c r="Z133" s="8">
        <f t="shared" si="29"/>
        <v>0.74044585987261147</v>
      </c>
      <c r="AA133" s="8">
        <f t="shared" si="30"/>
        <v>0.17197452229299362</v>
      </c>
    </row>
    <row r="134" spans="1:27">
      <c r="A134" s="1">
        <v>131</v>
      </c>
      <c r="B134" s="22" t="s">
        <v>181</v>
      </c>
      <c r="C134" s="22" t="s">
        <v>200</v>
      </c>
      <c r="D134" s="6">
        <v>44866</v>
      </c>
      <c r="E134" s="21">
        <v>2719</v>
      </c>
      <c r="F134" s="21">
        <v>8508</v>
      </c>
      <c r="G134" s="18">
        <v>1193</v>
      </c>
      <c r="H134" s="7"/>
      <c r="I134" s="7">
        <f t="shared" si="24"/>
        <v>1193</v>
      </c>
      <c r="J134" s="112">
        <f t="shared" si="31"/>
        <v>4772</v>
      </c>
      <c r="K134" s="7">
        <v>150</v>
      </c>
      <c r="L134" s="7">
        <v>2</v>
      </c>
      <c r="M134" s="7">
        <v>0</v>
      </c>
      <c r="N134" s="7">
        <v>3</v>
      </c>
      <c r="O134" s="7">
        <v>0</v>
      </c>
      <c r="P134" s="7">
        <v>0</v>
      </c>
      <c r="Q134" s="7">
        <v>200</v>
      </c>
      <c r="R134" s="7">
        <v>0</v>
      </c>
      <c r="S134" s="7">
        <f t="shared" si="22"/>
        <v>355</v>
      </c>
      <c r="T134" s="112">
        <f t="shared" si="32"/>
        <v>1420</v>
      </c>
      <c r="U134" s="7">
        <f t="shared" si="25"/>
        <v>1548</v>
      </c>
      <c r="V134" s="10">
        <f t="shared" si="26"/>
        <v>1171</v>
      </c>
      <c r="W134" s="8">
        <f t="shared" si="27"/>
        <v>0.56932695844060321</v>
      </c>
      <c r="X134" s="8">
        <f t="shared" si="28"/>
        <v>0.43067304155939684</v>
      </c>
      <c r="Y134" s="8">
        <f t="shared" si="23"/>
        <v>0.43876425156307464</v>
      </c>
      <c r="Z134" s="8">
        <f t="shared" si="29"/>
        <v>0.43876425156307464</v>
      </c>
      <c r="AA134" s="8">
        <f t="shared" si="30"/>
        <v>0.13056270687752849</v>
      </c>
    </row>
    <row r="135" spans="1:27">
      <c r="A135" s="1">
        <v>132</v>
      </c>
      <c r="B135" s="22" t="s">
        <v>181</v>
      </c>
      <c r="C135" s="23" t="s">
        <v>199</v>
      </c>
      <c r="D135" s="6" t="s">
        <v>99</v>
      </c>
      <c r="E135" s="20">
        <v>128</v>
      </c>
      <c r="F135" s="20">
        <v>392</v>
      </c>
      <c r="G135" s="7"/>
      <c r="H135" s="7"/>
      <c r="I135" s="7">
        <f t="shared" si="24"/>
        <v>0</v>
      </c>
      <c r="J135" s="112">
        <f t="shared" si="31"/>
        <v>0</v>
      </c>
      <c r="K135" s="7">
        <v>0</v>
      </c>
      <c r="L135" s="7">
        <v>2</v>
      </c>
      <c r="M135" s="7">
        <v>0</v>
      </c>
      <c r="N135" s="7">
        <v>0</v>
      </c>
      <c r="O135" s="95">
        <f>3+92</f>
        <v>95</v>
      </c>
      <c r="P135" s="7">
        <v>1</v>
      </c>
      <c r="Q135" s="7">
        <v>0</v>
      </c>
      <c r="R135" s="7">
        <v>1</v>
      </c>
      <c r="S135" s="7">
        <f t="shared" si="22"/>
        <v>99</v>
      </c>
      <c r="T135" s="112">
        <f t="shared" si="32"/>
        <v>396</v>
      </c>
      <c r="U135" s="7">
        <f t="shared" si="25"/>
        <v>99</v>
      </c>
      <c r="V135" s="10">
        <f t="shared" si="26"/>
        <v>29</v>
      </c>
      <c r="W135" s="8">
        <f t="shared" si="27"/>
        <v>0.7734375</v>
      </c>
      <c r="X135" s="8">
        <f t="shared" si="28"/>
        <v>0.2265625</v>
      </c>
      <c r="Y135" s="8">
        <f t="shared" si="23"/>
        <v>0</v>
      </c>
      <c r="Z135" s="8">
        <f t="shared" si="29"/>
        <v>0</v>
      </c>
      <c r="AA135" s="8">
        <f t="shared" si="30"/>
        <v>0.7734375</v>
      </c>
    </row>
    <row r="136" spans="1:27">
      <c r="A136" s="1">
        <v>133</v>
      </c>
      <c r="B136" s="22" t="s">
        <v>181</v>
      </c>
      <c r="C136" s="22" t="s">
        <v>189</v>
      </c>
      <c r="D136" s="6" t="s">
        <v>183</v>
      </c>
      <c r="E136" s="20">
        <v>768</v>
      </c>
      <c r="F136" s="20">
        <v>2350</v>
      </c>
      <c r="G136" s="18">
        <v>358</v>
      </c>
      <c r="H136" s="7"/>
      <c r="I136" s="7">
        <f t="shared" si="24"/>
        <v>358</v>
      </c>
      <c r="J136" s="112">
        <f t="shared" si="31"/>
        <v>1432</v>
      </c>
      <c r="K136" s="7">
        <v>0</v>
      </c>
      <c r="L136" s="7">
        <v>5</v>
      </c>
      <c r="M136" s="7">
        <v>0</v>
      </c>
      <c r="N136" s="7">
        <v>8</v>
      </c>
      <c r="O136" s="7">
        <v>1</v>
      </c>
      <c r="P136" s="7">
        <v>0</v>
      </c>
      <c r="Q136" s="7">
        <v>3</v>
      </c>
      <c r="R136" s="7">
        <v>1</v>
      </c>
      <c r="S136" s="7">
        <f t="shared" si="22"/>
        <v>18</v>
      </c>
      <c r="T136" s="112">
        <f t="shared" si="32"/>
        <v>72</v>
      </c>
      <c r="U136" s="7">
        <f t="shared" si="25"/>
        <v>376</v>
      </c>
      <c r="V136" s="10">
        <f t="shared" si="26"/>
        <v>392</v>
      </c>
      <c r="W136" s="8">
        <f t="shared" si="27"/>
        <v>0.48958333333333331</v>
      </c>
      <c r="X136" s="8">
        <f t="shared" si="28"/>
        <v>0.51041666666666663</v>
      </c>
      <c r="Y136" s="8">
        <f t="shared" si="23"/>
        <v>0.46614583333333331</v>
      </c>
      <c r="Z136" s="8">
        <f t="shared" si="29"/>
        <v>0.46614583333333331</v>
      </c>
      <c r="AA136" s="8">
        <f t="shared" si="30"/>
        <v>2.34375E-2</v>
      </c>
    </row>
    <row r="137" spans="1:27">
      <c r="A137" s="1">
        <v>134</v>
      </c>
      <c r="B137" s="22" t="s">
        <v>181</v>
      </c>
      <c r="C137" s="22" t="s">
        <v>181</v>
      </c>
      <c r="D137" s="6">
        <v>44776</v>
      </c>
      <c r="E137" s="21">
        <v>10310</v>
      </c>
      <c r="F137" s="21">
        <v>32185</v>
      </c>
      <c r="G137" s="18">
        <v>8511</v>
      </c>
      <c r="H137" s="7"/>
      <c r="I137" s="7">
        <f t="shared" si="24"/>
        <v>8511</v>
      </c>
      <c r="J137" s="112">
        <f t="shared" si="31"/>
        <v>34044</v>
      </c>
      <c r="K137" s="7">
        <v>5</v>
      </c>
      <c r="L137" s="7">
        <v>15</v>
      </c>
      <c r="M137" s="7">
        <v>2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f t="shared" si="22"/>
        <v>22</v>
      </c>
      <c r="T137" s="112">
        <f t="shared" si="32"/>
        <v>88</v>
      </c>
      <c r="U137" s="7">
        <f t="shared" si="25"/>
        <v>8533</v>
      </c>
      <c r="V137" s="10">
        <f t="shared" si="26"/>
        <v>1777</v>
      </c>
      <c r="W137" s="8">
        <f t="shared" si="27"/>
        <v>0.82764306498545104</v>
      </c>
      <c r="X137" s="8">
        <f t="shared" si="28"/>
        <v>0.17235693501454899</v>
      </c>
      <c r="Y137" s="8">
        <f t="shared" si="23"/>
        <v>0.82550921435499514</v>
      </c>
      <c r="Z137" s="8">
        <f t="shared" si="29"/>
        <v>0.82550921435499514</v>
      </c>
      <c r="AA137" s="8">
        <f t="shared" si="30"/>
        <v>2.1338506304558681E-3</v>
      </c>
    </row>
    <row r="138" spans="1:27">
      <c r="A138" s="1">
        <v>135</v>
      </c>
      <c r="B138" s="22" t="s">
        <v>181</v>
      </c>
      <c r="C138" s="22" t="s">
        <v>186</v>
      </c>
      <c r="D138" s="6" t="s">
        <v>187</v>
      </c>
      <c r="E138" s="20">
        <v>1291</v>
      </c>
      <c r="F138" s="20">
        <v>4098</v>
      </c>
      <c r="G138" s="18">
        <v>920</v>
      </c>
      <c r="H138" s="7"/>
      <c r="I138" s="7">
        <f t="shared" si="24"/>
        <v>920</v>
      </c>
      <c r="J138" s="112">
        <f t="shared" si="31"/>
        <v>3680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1</v>
      </c>
      <c r="Q138" s="7">
        <v>0</v>
      </c>
      <c r="R138" s="7">
        <v>0</v>
      </c>
      <c r="S138" s="7">
        <f t="shared" si="22"/>
        <v>1</v>
      </c>
      <c r="T138" s="112">
        <f t="shared" si="32"/>
        <v>4</v>
      </c>
      <c r="U138" s="7">
        <f t="shared" si="25"/>
        <v>921</v>
      </c>
      <c r="V138" s="10">
        <f t="shared" si="26"/>
        <v>370</v>
      </c>
      <c r="W138" s="8">
        <f t="shared" si="27"/>
        <v>0.71340046475600305</v>
      </c>
      <c r="X138" s="8">
        <f t="shared" si="28"/>
        <v>0.28659953524399689</v>
      </c>
      <c r="Y138" s="8">
        <f t="shared" si="23"/>
        <v>0.71262587141750577</v>
      </c>
      <c r="Z138" s="8">
        <f t="shared" si="29"/>
        <v>0.71262587141750577</v>
      </c>
      <c r="AA138" s="8">
        <f t="shared" si="30"/>
        <v>7.7459333849728897E-4</v>
      </c>
    </row>
    <row r="139" spans="1:27">
      <c r="A139" s="1">
        <v>136</v>
      </c>
      <c r="B139" s="22" t="s">
        <v>181</v>
      </c>
      <c r="C139" s="22" t="s">
        <v>201</v>
      </c>
      <c r="D139" s="6" t="s">
        <v>55</v>
      </c>
      <c r="E139" s="21">
        <v>1509</v>
      </c>
      <c r="F139" s="21">
        <v>4844</v>
      </c>
      <c r="G139" s="92">
        <v>1259</v>
      </c>
      <c r="H139" s="7"/>
      <c r="I139" s="7">
        <f t="shared" si="24"/>
        <v>1259</v>
      </c>
      <c r="J139" s="112">
        <f t="shared" si="31"/>
        <v>5036</v>
      </c>
      <c r="K139" s="7">
        <v>0</v>
      </c>
      <c r="L139" s="7">
        <v>4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f t="shared" si="22"/>
        <v>4</v>
      </c>
      <c r="T139" s="112">
        <f t="shared" si="32"/>
        <v>16</v>
      </c>
      <c r="U139" s="7">
        <f t="shared" si="25"/>
        <v>1263</v>
      </c>
      <c r="V139" s="10">
        <f t="shared" si="26"/>
        <v>246</v>
      </c>
      <c r="W139" s="8">
        <f t="shared" si="27"/>
        <v>0.83697813121272369</v>
      </c>
      <c r="X139" s="8">
        <f t="shared" si="28"/>
        <v>0.16302186878727634</v>
      </c>
      <c r="Y139" s="8">
        <f t="shared" si="23"/>
        <v>0.8343273691186216</v>
      </c>
      <c r="Z139" s="8">
        <f t="shared" si="29"/>
        <v>0.8343273691186216</v>
      </c>
      <c r="AA139" s="8">
        <f t="shared" si="30"/>
        <v>2.6507620941020544E-3</v>
      </c>
    </row>
    <row r="140" spans="1:27">
      <c r="A140" s="1">
        <v>137</v>
      </c>
      <c r="B140" s="22" t="s">
        <v>181</v>
      </c>
      <c r="C140" s="22" t="s">
        <v>185</v>
      </c>
      <c r="D140" s="6">
        <v>44875</v>
      </c>
      <c r="E140" s="21">
        <v>1951</v>
      </c>
      <c r="F140" s="21">
        <v>6125</v>
      </c>
      <c r="G140" s="18">
        <v>1099</v>
      </c>
      <c r="H140" s="7"/>
      <c r="I140" s="7">
        <f t="shared" si="24"/>
        <v>1099</v>
      </c>
      <c r="J140" s="112">
        <f t="shared" si="31"/>
        <v>4396</v>
      </c>
      <c r="K140" s="7">
        <v>0</v>
      </c>
      <c r="L140" s="7">
        <v>149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f t="shared" si="22"/>
        <v>149</v>
      </c>
      <c r="T140" s="112">
        <f t="shared" si="32"/>
        <v>596</v>
      </c>
      <c r="U140" s="7">
        <f t="shared" si="25"/>
        <v>1248</v>
      </c>
      <c r="V140" s="10">
        <f t="shared" si="26"/>
        <v>703</v>
      </c>
      <c r="W140" s="8">
        <f t="shared" si="27"/>
        <v>0.63967196309584828</v>
      </c>
      <c r="X140" s="8">
        <f t="shared" si="28"/>
        <v>0.36032803690415172</v>
      </c>
      <c r="Y140" s="8">
        <f t="shared" si="23"/>
        <v>0.56330087134802664</v>
      </c>
      <c r="Z140" s="8">
        <f t="shared" si="29"/>
        <v>0.56330087134802664</v>
      </c>
      <c r="AA140" s="8">
        <f t="shared" si="30"/>
        <v>7.6371091747821626E-2</v>
      </c>
    </row>
    <row r="141" spans="1:27">
      <c r="A141" s="1">
        <v>138</v>
      </c>
      <c r="B141" s="22" t="s">
        <v>202</v>
      </c>
      <c r="C141" s="22" t="s">
        <v>203</v>
      </c>
      <c r="D141" s="6">
        <v>44777</v>
      </c>
      <c r="E141" s="20">
        <v>262</v>
      </c>
      <c r="F141" s="20">
        <v>758</v>
      </c>
      <c r="G141" s="1"/>
      <c r="H141" s="30">
        <v>250</v>
      </c>
      <c r="I141" s="7">
        <f t="shared" si="24"/>
        <v>250</v>
      </c>
      <c r="J141" s="112">
        <f t="shared" si="31"/>
        <v>1000</v>
      </c>
      <c r="K141" s="7">
        <v>1</v>
      </c>
      <c r="L141" s="18">
        <v>0</v>
      </c>
      <c r="M141" s="7">
        <v>1</v>
      </c>
      <c r="N141" s="18">
        <v>0</v>
      </c>
      <c r="O141" s="7">
        <v>0</v>
      </c>
      <c r="P141" s="7">
        <v>4</v>
      </c>
      <c r="Q141" s="7">
        <v>6</v>
      </c>
      <c r="R141" s="7">
        <v>0</v>
      </c>
      <c r="S141" s="1">
        <f t="shared" si="22"/>
        <v>12</v>
      </c>
      <c r="T141" s="112">
        <f t="shared" si="32"/>
        <v>48</v>
      </c>
      <c r="U141" s="7">
        <f t="shared" si="25"/>
        <v>262</v>
      </c>
      <c r="V141" s="31">
        <f t="shared" si="26"/>
        <v>0</v>
      </c>
      <c r="W141" s="8">
        <f t="shared" si="27"/>
        <v>1</v>
      </c>
      <c r="X141" s="8">
        <f t="shared" si="28"/>
        <v>0</v>
      </c>
      <c r="Y141" s="8">
        <f t="shared" si="23"/>
        <v>0</v>
      </c>
      <c r="Z141" s="8">
        <f t="shared" si="29"/>
        <v>0.95419847328244278</v>
      </c>
      <c r="AA141" s="8">
        <f t="shared" si="30"/>
        <v>4.5801526717557252E-2</v>
      </c>
    </row>
    <row r="142" spans="1:27">
      <c r="A142" s="1">
        <v>139</v>
      </c>
      <c r="B142" s="22" t="s">
        <v>202</v>
      </c>
      <c r="C142" s="23" t="s">
        <v>205</v>
      </c>
      <c r="D142" s="6" t="s">
        <v>85</v>
      </c>
      <c r="E142" s="20">
        <v>321</v>
      </c>
      <c r="F142" s="20">
        <v>939</v>
      </c>
      <c r="G142" s="1"/>
      <c r="H142" s="1"/>
      <c r="I142" s="7">
        <f t="shared" si="24"/>
        <v>0</v>
      </c>
      <c r="J142" s="112">
        <f t="shared" si="31"/>
        <v>0</v>
      </c>
      <c r="K142" s="7">
        <v>0</v>
      </c>
      <c r="L142" s="7">
        <v>0</v>
      </c>
      <c r="M142" s="7">
        <v>0</v>
      </c>
      <c r="N142" s="7">
        <v>5</v>
      </c>
      <c r="O142" s="95">
        <f>180+55</f>
        <v>235</v>
      </c>
      <c r="P142" s="7">
        <v>0</v>
      </c>
      <c r="Q142" s="7">
        <v>0</v>
      </c>
      <c r="R142" s="7">
        <v>0</v>
      </c>
      <c r="S142" s="1">
        <f t="shared" si="22"/>
        <v>240</v>
      </c>
      <c r="T142" s="112">
        <f t="shared" si="32"/>
        <v>960</v>
      </c>
      <c r="U142" s="7">
        <f t="shared" si="25"/>
        <v>240</v>
      </c>
      <c r="V142" s="10">
        <f t="shared" si="26"/>
        <v>81</v>
      </c>
      <c r="W142" s="8">
        <f t="shared" si="27"/>
        <v>0.74766355140186913</v>
      </c>
      <c r="X142" s="8">
        <f t="shared" si="28"/>
        <v>0.25233644859813081</v>
      </c>
      <c r="Y142" s="8">
        <f t="shared" si="23"/>
        <v>0</v>
      </c>
      <c r="Z142" s="8">
        <f t="shared" si="29"/>
        <v>0</v>
      </c>
      <c r="AA142" s="8">
        <f t="shared" si="30"/>
        <v>0.74766355140186913</v>
      </c>
    </row>
    <row r="143" spans="1:27">
      <c r="A143" s="1">
        <v>140</v>
      </c>
      <c r="B143" s="22" t="s">
        <v>202</v>
      </c>
      <c r="C143" s="23" t="s">
        <v>207</v>
      </c>
      <c r="D143" s="6" t="s">
        <v>108</v>
      </c>
      <c r="E143" s="20">
        <v>820</v>
      </c>
      <c r="F143" s="20">
        <v>2451</v>
      </c>
      <c r="G143" s="1"/>
      <c r="H143" s="30">
        <v>250</v>
      </c>
      <c r="I143" s="7">
        <f t="shared" si="24"/>
        <v>250</v>
      </c>
      <c r="J143" s="112">
        <f t="shared" si="31"/>
        <v>1000</v>
      </c>
      <c r="K143" s="7">
        <v>0</v>
      </c>
      <c r="L143" s="7">
        <v>10</v>
      </c>
      <c r="M143" s="7">
        <v>0</v>
      </c>
      <c r="N143" s="7">
        <v>1</v>
      </c>
      <c r="O143" s="96">
        <f>272+224+224+112-227-50</f>
        <v>555</v>
      </c>
      <c r="P143" s="7">
        <v>1</v>
      </c>
      <c r="Q143" s="7">
        <v>1</v>
      </c>
      <c r="R143" s="7">
        <v>2</v>
      </c>
      <c r="S143" s="1">
        <f t="shared" si="22"/>
        <v>570</v>
      </c>
      <c r="T143" s="112">
        <f t="shared" si="32"/>
        <v>2280</v>
      </c>
      <c r="U143" s="7">
        <f t="shared" si="25"/>
        <v>820</v>
      </c>
      <c r="V143" s="10">
        <f t="shared" si="26"/>
        <v>0</v>
      </c>
      <c r="W143" s="8">
        <f t="shared" si="27"/>
        <v>1</v>
      </c>
      <c r="X143" s="8">
        <f t="shared" si="28"/>
        <v>0</v>
      </c>
      <c r="Y143" s="8">
        <f t="shared" si="23"/>
        <v>0</v>
      </c>
      <c r="Z143" s="8">
        <f t="shared" si="29"/>
        <v>0.3048780487804878</v>
      </c>
      <c r="AA143" s="8">
        <f t="shared" si="30"/>
        <v>0.69512195121951215</v>
      </c>
    </row>
    <row r="144" spans="1:27">
      <c r="A144" s="1">
        <v>141</v>
      </c>
      <c r="B144" s="22" t="s">
        <v>202</v>
      </c>
      <c r="C144" s="23" t="s">
        <v>208</v>
      </c>
      <c r="D144" s="6">
        <v>44320</v>
      </c>
      <c r="E144" s="20">
        <v>219</v>
      </c>
      <c r="F144" s="20">
        <v>687</v>
      </c>
      <c r="G144" s="1"/>
      <c r="H144" s="1"/>
      <c r="I144" s="7">
        <f t="shared" si="24"/>
        <v>0</v>
      </c>
      <c r="J144" s="112">
        <f t="shared" si="31"/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1">
        <f t="shared" si="22"/>
        <v>0</v>
      </c>
      <c r="T144" s="112">
        <f t="shared" si="32"/>
        <v>0</v>
      </c>
      <c r="U144" s="7">
        <f t="shared" si="25"/>
        <v>0</v>
      </c>
      <c r="V144" s="10">
        <f t="shared" si="26"/>
        <v>219</v>
      </c>
      <c r="W144" s="8">
        <f t="shared" si="27"/>
        <v>0</v>
      </c>
      <c r="X144" s="8">
        <f t="shared" si="28"/>
        <v>1</v>
      </c>
      <c r="Y144" s="8">
        <f t="shared" si="23"/>
        <v>0</v>
      </c>
      <c r="Z144" s="8">
        <f t="shared" si="29"/>
        <v>0</v>
      </c>
      <c r="AA144" s="8">
        <f t="shared" si="30"/>
        <v>0</v>
      </c>
    </row>
    <row r="145" spans="1:27">
      <c r="A145" s="1">
        <v>142</v>
      </c>
      <c r="B145" s="22" t="s">
        <v>202</v>
      </c>
      <c r="C145" s="23" t="s">
        <v>206</v>
      </c>
      <c r="D145" s="6" t="s">
        <v>149</v>
      </c>
      <c r="E145" s="20">
        <v>420</v>
      </c>
      <c r="F145" s="20">
        <v>1333</v>
      </c>
      <c r="G145" s="1"/>
      <c r="H145" s="1"/>
      <c r="I145" s="7">
        <f t="shared" si="24"/>
        <v>0</v>
      </c>
      <c r="J145" s="112">
        <f t="shared" si="31"/>
        <v>0</v>
      </c>
      <c r="K145" s="7">
        <v>0</v>
      </c>
      <c r="L145" s="7">
        <v>2</v>
      </c>
      <c r="M145" s="7">
        <v>0</v>
      </c>
      <c r="N145" s="7">
        <v>4</v>
      </c>
      <c r="O145" s="95">
        <f>180+76+55+55</f>
        <v>366</v>
      </c>
      <c r="P145" s="7">
        <v>0</v>
      </c>
      <c r="Q145" s="7">
        <v>0</v>
      </c>
      <c r="R145" s="7">
        <v>0</v>
      </c>
      <c r="S145" s="1">
        <f t="shared" si="22"/>
        <v>372</v>
      </c>
      <c r="T145" s="112">
        <f t="shared" si="32"/>
        <v>1488</v>
      </c>
      <c r="U145" s="7">
        <f t="shared" si="25"/>
        <v>372</v>
      </c>
      <c r="V145" s="10">
        <f t="shared" si="26"/>
        <v>48</v>
      </c>
      <c r="W145" s="8">
        <f t="shared" si="27"/>
        <v>0.88571428571428568</v>
      </c>
      <c r="X145" s="8">
        <f t="shared" si="28"/>
        <v>0.11428571428571428</v>
      </c>
      <c r="Y145" s="8">
        <f t="shared" si="23"/>
        <v>0</v>
      </c>
      <c r="Z145" s="8">
        <f t="shared" si="29"/>
        <v>0</v>
      </c>
      <c r="AA145" s="8">
        <f t="shared" si="30"/>
        <v>0.88571428571428568</v>
      </c>
    </row>
    <row r="146" spans="1:27">
      <c r="A146" s="1">
        <v>143</v>
      </c>
      <c r="B146" s="22" t="s">
        <v>202</v>
      </c>
      <c r="C146" s="23" t="s">
        <v>209</v>
      </c>
      <c r="D146" s="6" t="s">
        <v>64</v>
      </c>
      <c r="E146" s="20">
        <v>270</v>
      </c>
      <c r="F146" s="20">
        <v>832</v>
      </c>
      <c r="G146" s="1"/>
      <c r="H146" s="1"/>
      <c r="I146" s="7">
        <f t="shared" si="24"/>
        <v>0</v>
      </c>
      <c r="J146" s="112">
        <f t="shared" si="31"/>
        <v>0</v>
      </c>
      <c r="K146" s="7">
        <v>0</v>
      </c>
      <c r="L146" s="7">
        <v>46</v>
      </c>
      <c r="M146" s="7">
        <v>0</v>
      </c>
      <c r="N146" s="7">
        <v>0</v>
      </c>
      <c r="O146" s="7">
        <v>0</v>
      </c>
      <c r="P146" s="7">
        <v>2</v>
      </c>
      <c r="Q146" s="7">
        <v>0</v>
      </c>
      <c r="R146" s="7">
        <v>0</v>
      </c>
      <c r="S146" s="1">
        <f t="shared" ref="S146:S147" si="33">SUM(K146:R146)</f>
        <v>48</v>
      </c>
      <c r="T146" s="112">
        <f t="shared" si="32"/>
        <v>192</v>
      </c>
      <c r="U146" s="7">
        <f t="shared" si="25"/>
        <v>48</v>
      </c>
      <c r="V146" s="10">
        <f t="shared" si="26"/>
        <v>222</v>
      </c>
      <c r="W146" s="8">
        <f t="shared" si="27"/>
        <v>0.17777777777777778</v>
      </c>
      <c r="X146" s="8">
        <f t="shared" si="28"/>
        <v>0.82222222222222219</v>
      </c>
      <c r="Y146" s="8">
        <f t="shared" si="23"/>
        <v>0</v>
      </c>
      <c r="Z146" s="8">
        <f t="shared" si="29"/>
        <v>0</v>
      </c>
      <c r="AA146" s="8">
        <f t="shared" si="30"/>
        <v>0.17777777777777778</v>
      </c>
    </row>
    <row r="147" spans="1:27">
      <c r="A147" s="1">
        <v>144</v>
      </c>
      <c r="B147" s="22" t="s">
        <v>202</v>
      </c>
      <c r="C147" s="23" t="s">
        <v>204</v>
      </c>
      <c r="D147" s="6">
        <v>44866</v>
      </c>
      <c r="E147" s="20">
        <v>862</v>
      </c>
      <c r="F147" s="20">
        <v>2729</v>
      </c>
      <c r="G147" s="1"/>
      <c r="H147" s="1"/>
      <c r="I147" s="7">
        <f t="shared" si="24"/>
        <v>0</v>
      </c>
      <c r="J147" s="112">
        <f t="shared" si="31"/>
        <v>0</v>
      </c>
      <c r="K147" s="7">
        <v>0</v>
      </c>
      <c r="L147" s="7">
        <v>40</v>
      </c>
      <c r="M147" s="7">
        <v>0</v>
      </c>
      <c r="N147" s="7">
        <v>0</v>
      </c>
      <c r="O147" s="95">
        <v>90</v>
      </c>
      <c r="P147" s="7">
        <v>0</v>
      </c>
      <c r="Q147" s="7">
        <v>0</v>
      </c>
      <c r="R147" s="7">
        <v>1</v>
      </c>
      <c r="S147" s="1">
        <f t="shared" si="33"/>
        <v>131</v>
      </c>
      <c r="T147" s="112">
        <f t="shared" si="32"/>
        <v>524</v>
      </c>
      <c r="U147" s="7">
        <f t="shared" si="25"/>
        <v>131</v>
      </c>
      <c r="V147" s="10">
        <f t="shared" si="26"/>
        <v>731</v>
      </c>
      <c r="W147" s="8">
        <f t="shared" si="27"/>
        <v>0.1519721577726218</v>
      </c>
      <c r="X147" s="8">
        <f t="shared" si="28"/>
        <v>0.84802784222737815</v>
      </c>
      <c r="Y147" s="8">
        <f t="shared" si="23"/>
        <v>0</v>
      </c>
      <c r="Z147" s="8">
        <f t="shared" si="29"/>
        <v>0</v>
      </c>
      <c r="AA147" s="8">
        <f t="shared" si="30"/>
        <v>0.1519721577726218</v>
      </c>
    </row>
    <row r="148" spans="1:27">
      <c r="A148" s="1"/>
      <c r="B148" s="1"/>
      <c r="C148" s="1"/>
      <c r="D148" s="1"/>
      <c r="E148" s="12">
        <f>SUM(E4:E147)</f>
        <v>96067</v>
      </c>
      <c r="F148" s="12">
        <f>SUM(F4:F147)</f>
        <v>292879</v>
      </c>
      <c r="G148" s="12">
        <f>SUM(G4:G147)</f>
        <v>30406</v>
      </c>
      <c r="H148" s="12">
        <f>SUM(H4:H147)</f>
        <v>7032</v>
      </c>
      <c r="I148" s="12">
        <f>SUM(I4:I147)</f>
        <v>37438</v>
      </c>
      <c r="J148" s="112">
        <f t="shared" si="31"/>
        <v>149752</v>
      </c>
      <c r="K148" s="7"/>
      <c r="L148" s="7"/>
      <c r="M148" s="7"/>
      <c r="N148" s="7"/>
      <c r="O148" s="7"/>
      <c r="P148" s="7"/>
      <c r="Q148" s="7"/>
      <c r="R148" s="7"/>
      <c r="S148" s="12">
        <f t="shared" ref="S148:AA148" si="34">SUM(S4:S147)</f>
        <v>24255</v>
      </c>
      <c r="T148" s="112">
        <f t="shared" si="32"/>
        <v>97020</v>
      </c>
      <c r="U148" s="12">
        <f t="shared" si="34"/>
        <v>61693</v>
      </c>
      <c r="V148" s="12">
        <f t="shared" si="34"/>
        <v>34374</v>
      </c>
      <c r="W148" s="12">
        <f t="shared" si="34"/>
        <v>89.370081813990936</v>
      </c>
      <c r="X148" s="12">
        <f t="shared" si="34"/>
        <v>54.629918186009064</v>
      </c>
      <c r="Y148" s="12">
        <f t="shared" si="34"/>
        <v>25.360160800658736</v>
      </c>
      <c r="Z148" s="12">
        <f t="shared" si="34"/>
        <v>42.220535483734189</v>
      </c>
      <c r="AA148" s="12">
        <f t="shared" si="34"/>
        <v>47.149546330256712</v>
      </c>
    </row>
    <row r="149" spans="1:27">
      <c r="G149">
        <v>29849</v>
      </c>
      <c r="I149" s="13">
        <f>U148*4.2</f>
        <v>259110.6</v>
      </c>
      <c r="U149" s="98">
        <f>U148/E148</f>
        <v>0.64218722350026547</v>
      </c>
      <c r="V149" s="99">
        <f>V148/E148</f>
        <v>0.35781277649973459</v>
      </c>
    </row>
    <row r="150" spans="1:27">
      <c r="B150" s="27" t="s">
        <v>229</v>
      </c>
      <c r="G150" s="91">
        <f>G148-G149</f>
        <v>557</v>
      </c>
      <c r="I150" s="14">
        <f>I149/F148</f>
        <v>0.88470187346993134</v>
      </c>
    </row>
    <row r="151" spans="1:27">
      <c r="B151" s="28" t="s">
        <v>228</v>
      </c>
      <c r="G151">
        <f>I148/E148</f>
        <v>0.38970718352816264</v>
      </c>
      <c r="T151" t="e">
        <f>V148/R148</f>
        <v>#DIV/0!</v>
      </c>
    </row>
    <row r="152" spans="1:27">
      <c r="B152" s="29" t="s">
        <v>230</v>
      </c>
      <c r="G152">
        <f>S148/E148</f>
        <v>0.25248003997210278</v>
      </c>
    </row>
  </sheetData>
  <autoFilter ref="A3:AA152"/>
  <mergeCells count="13">
    <mergeCell ref="K1:S1"/>
    <mergeCell ref="A1:A2"/>
    <mergeCell ref="B1:B2"/>
    <mergeCell ref="C1:C2"/>
    <mergeCell ref="E1:F1"/>
    <mergeCell ref="G1:I1"/>
    <mergeCell ref="AA1:AA2"/>
    <mergeCell ref="U1:U2"/>
    <mergeCell ref="V1:V2"/>
    <mergeCell ref="W1:W2"/>
    <mergeCell ref="X1:X2"/>
    <mergeCell ref="Y1:Y2"/>
    <mergeCell ref="Z1:Z2"/>
  </mergeCells>
  <hyperlinks>
    <hyperlink ref="B151" r:id="rId1"/>
    <hyperlink ref="B152" r:id="rId2"/>
  </hyperlinks>
  <pageMargins left="0.7" right="0.7" top="0.75" bottom="0.75" header="0.3" footer="0.3"/>
  <pageSetup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F19" sqref="F19"/>
    </sheetView>
  </sheetViews>
  <sheetFormatPr defaultRowHeight="15"/>
  <cols>
    <col min="1" max="1" width="5.28515625" customWidth="1"/>
    <col min="2" max="2" width="19.140625" bestFit="1" customWidth="1"/>
    <col min="3" max="3" width="12.28515625" customWidth="1"/>
    <col min="4" max="4" width="12" customWidth="1"/>
    <col min="5" max="5" width="15.42578125" customWidth="1"/>
    <col min="6" max="6" width="15.140625" customWidth="1"/>
    <col min="7" max="7" width="15.42578125" customWidth="1"/>
    <col min="8" max="8" width="17.28515625" customWidth="1"/>
    <col min="9" max="9" width="12.28515625" customWidth="1"/>
    <col min="10" max="12" width="12" customWidth="1"/>
    <col min="13" max="13" width="13.140625" customWidth="1"/>
    <col min="14" max="14" width="12.7109375" customWidth="1"/>
  </cols>
  <sheetData>
    <row r="1" spans="1:14" ht="15" customHeight="1">
      <c r="A1" s="125" t="s">
        <v>29</v>
      </c>
      <c r="B1" s="125" t="s">
        <v>231</v>
      </c>
      <c r="C1" s="125" t="s">
        <v>225</v>
      </c>
      <c r="D1" s="125"/>
      <c r="E1" s="125" t="s">
        <v>232</v>
      </c>
      <c r="F1" s="125"/>
      <c r="G1" s="125" t="s">
        <v>232</v>
      </c>
      <c r="H1" s="125"/>
      <c r="I1" s="124" t="s">
        <v>237</v>
      </c>
      <c r="J1" s="124" t="s">
        <v>238</v>
      </c>
      <c r="K1" s="124" t="s">
        <v>239</v>
      </c>
      <c r="L1" s="124" t="s">
        <v>240</v>
      </c>
      <c r="M1" s="124" t="s">
        <v>235</v>
      </c>
      <c r="N1" s="124" t="s">
        <v>236</v>
      </c>
    </row>
    <row r="2" spans="1:14" ht="47.25" customHeight="1">
      <c r="A2" s="125"/>
      <c r="B2" s="125"/>
      <c r="C2" s="46" t="s">
        <v>210</v>
      </c>
      <c r="D2" s="46" t="s">
        <v>224</v>
      </c>
      <c r="E2" s="46" t="s">
        <v>233</v>
      </c>
      <c r="F2" s="46" t="s">
        <v>234</v>
      </c>
      <c r="G2" s="46" t="s">
        <v>254</v>
      </c>
      <c r="H2" s="46" t="s">
        <v>255</v>
      </c>
      <c r="I2" s="124"/>
      <c r="J2" s="124"/>
      <c r="K2" s="124"/>
      <c r="L2" s="124"/>
      <c r="M2" s="124"/>
      <c r="N2" s="124"/>
    </row>
    <row r="3" spans="1:14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5</v>
      </c>
      <c r="H3" s="26">
        <v>6</v>
      </c>
      <c r="I3" s="26">
        <v>7</v>
      </c>
      <c r="J3" s="26">
        <v>8</v>
      </c>
      <c r="K3" s="26">
        <v>7</v>
      </c>
      <c r="L3" s="26">
        <v>8</v>
      </c>
      <c r="M3" s="26">
        <v>9</v>
      </c>
      <c r="N3" s="26">
        <v>10</v>
      </c>
    </row>
    <row r="4" spans="1:14">
      <c r="A4" s="2">
        <v>1</v>
      </c>
      <c r="B4" s="34" t="s">
        <v>0</v>
      </c>
      <c r="C4" s="15">
        <f>SUM('RINCIAN REV'!E4:E16)</f>
        <v>6874</v>
      </c>
      <c r="D4" s="15">
        <f>SUM('RINCIAN REV'!F4:F16)</f>
        <v>19458</v>
      </c>
      <c r="E4" s="15">
        <f>SUM('RINCIAN REV'!I4:I16)</f>
        <v>1056</v>
      </c>
      <c r="F4" s="15">
        <f>SUM('RINCIAN REV'!S4:S16)</f>
        <v>2865</v>
      </c>
      <c r="G4" s="15">
        <f>E4*$C$16</f>
        <v>4224</v>
      </c>
      <c r="H4" s="15">
        <f>F4*$C$16</f>
        <v>11460</v>
      </c>
      <c r="I4" s="15">
        <f>E4+F4</f>
        <v>3921</v>
      </c>
      <c r="J4" s="15">
        <f>C4-I4</f>
        <v>2953</v>
      </c>
      <c r="K4" s="15">
        <f>G4+H4</f>
        <v>15684</v>
      </c>
      <c r="L4" s="15">
        <f>D4-K4</f>
        <v>3774</v>
      </c>
      <c r="M4" s="36">
        <f>K4/D4</f>
        <v>0.80604378661732967</v>
      </c>
      <c r="N4" s="36">
        <f>L4/D4</f>
        <v>0.19395621338267036</v>
      </c>
    </row>
    <row r="5" spans="1:14">
      <c r="A5" s="2">
        <v>2</v>
      </c>
      <c r="B5" s="34" t="s">
        <v>30</v>
      </c>
      <c r="C5" s="15">
        <f>SUM('RINCIAN REV'!E17:E25)</f>
        <v>9265</v>
      </c>
      <c r="D5" s="15">
        <f>SUM('RINCIAN REV'!F17:F25)</f>
        <v>27044</v>
      </c>
      <c r="E5" s="15">
        <f>SUM('RINCIAN REV'!I17:I25)</f>
        <v>550</v>
      </c>
      <c r="F5" s="15">
        <f>SUM('RINCIAN REV'!S17:S25)</f>
        <v>2254</v>
      </c>
      <c r="G5" s="15">
        <f t="shared" ref="G5:G13" si="0">E5*$C$16</f>
        <v>2200</v>
      </c>
      <c r="H5" s="15">
        <f t="shared" ref="H5:H13" si="1">F5*$C$16</f>
        <v>9016</v>
      </c>
      <c r="I5" s="15">
        <f t="shared" ref="I5:I13" si="2">E5+F5</f>
        <v>2804</v>
      </c>
      <c r="J5" s="15">
        <f t="shared" ref="J5:J13" si="3">C5-I5</f>
        <v>6461</v>
      </c>
      <c r="K5" s="15">
        <f t="shared" ref="K5:K13" si="4">G5+H5</f>
        <v>11216</v>
      </c>
      <c r="L5" s="15">
        <f t="shared" ref="L5:L13" si="5">D5-K5</f>
        <v>15828</v>
      </c>
      <c r="M5" s="36">
        <f t="shared" ref="M5:M13" si="6">K5/D5</f>
        <v>0.41473154858748706</v>
      </c>
      <c r="N5" s="36">
        <f t="shared" ref="N5:N13" si="7">L5/D5</f>
        <v>0.58526845141251294</v>
      </c>
    </row>
    <row r="6" spans="1:14">
      <c r="A6" s="2">
        <v>3</v>
      </c>
      <c r="B6" s="34" t="s">
        <v>45</v>
      </c>
      <c r="C6" s="15">
        <f>SUM('RINCIAN REV'!E26:E38)</f>
        <v>10082</v>
      </c>
      <c r="D6" s="15">
        <f>SUM('RINCIAN REV'!F26:F38)</f>
        <v>31070</v>
      </c>
      <c r="E6" s="15">
        <f>SUM('RINCIAN REV'!I26:I38)</f>
        <v>3830</v>
      </c>
      <c r="F6" s="15">
        <f>SUM('RINCIAN REV'!S26:S38)</f>
        <v>3204</v>
      </c>
      <c r="G6" s="15">
        <f t="shared" si="0"/>
        <v>15320</v>
      </c>
      <c r="H6" s="15">
        <f t="shared" si="1"/>
        <v>12816</v>
      </c>
      <c r="I6" s="15">
        <f t="shared" si="2"/>
        <v>7034</v>
      </c>
      <c r="J6" s="15">
        <f t="shared" si="3"/>
        <v>3048</v>
      </c>
      <c r="K6" s="15">
        <f t="shared" si="4"/>
        <v>28136</v>
      </c>
      <c r="L6" s="15">
        <f t="shared" si="5"/>
        <v>2934</v>
      </c>
      <c r="M6" s="36">
        <f t="shared" si="6"/>
        <v>0.90556807209526879</v>
      </c>
      <c r="N6" s="36">
        <f t="shared" si="7"/>
        <v>9.4431927904731247E-2</v>
      </c>
    </row>
    <row r="7" spans="1:14">
      <c r="A7" s="2">
        <v>4</v>
      </c>
      <c r="B7" s="34" t="s">
        <v>65</v>
      </c>
      <c r="C7" s="15">
        <f>SUM('RINCIAN REV'!E39:E64)</f>
        <v>14100</v>
      </c>
      <c r="D7" s="15">
        <f>SUM('RINCIAN REV'!F39:F64)</f>
        <v>43229</v>
      </c>
      <c r="E7" s="15">
        <f>SUM('RINCIAN REV'!I39:I64)</f>
        <v>4681</v>
      </c>
      <c r="F7" s="15">
        <f>SUM('RINCIAN REV'!S39:S64)</f>
        <v>4931</v>
      </c>
      <c r="G7" s="15">
        <f t="shared" si="0"/>
        <v>18724</v>
      </c>
      <c r="H7" s="15">
        <f t="shared" si="1"/>
        <v>19724</v>
      </c>
      <c r="I7" s="15">
        <f t="shared" si="2"/>
        <v>9612</v>
      </c>
      <c r="J7" s="15">
        <f t="shared" si="3"/>
        <v>4488</v>
      </c>
      <c r="K7" s="15">
        <f t="shared" si="4"/>
        <v>38448</v>
      </c>
      <c r="L7" s="15">
        <f t="shared" si="5"/>
        <v>4781</v>
      </c>
      <c r="M7" s="36">
        <f t="shared" si="6"/>
        <v>0.88940294709569967</v>
      </c>
      <c r="N7" s="36">
        <f t="shared" si="7"/>
        <v>0.11059705290430036</v>
      </c>
    </row>
    <row r="8" spans="1:14">
      <c r="A8" s="2">
        <v>5</v>
      </c>
      <c r="B8" s="34" t="s">
        <v>102</v>
      </c>
      <c r="C8" s="15">
        <f>SUM('RINCIAN REV'!E65:E87)</f>
        <v>9200</v>
      </c>
      <c r="D8" s="15">
        <f>SUM('RINCIAN REV'!F65:F87)</f>
        <v>28485</v>
      </c>
      <c r="E8" s="15">
        <f>SUM('RINCIAN REV'!I65:I87)</f>
        <v>2727</v>
      </c>
      <c r="F8" s="15">
        <f>SUM('RINCIAN REV'!S65:S87)</f>
        <v>2936</v>
      </c>
      <c r="G8" s="15">
        <f t="shared" si="0"/>
        <v>10908</v>
      </c>
      <c r="H8" s="15">
        <f t="shared" si="1"/>
        <v>11744</v>
      </c>
      <c r="I8" s="15">
        <f t="shared" si="2"/>
        <v>5663</v>
      </c>
      <c r="J8" s="15">
        <f t="shared" si="3"/>
        <v>3537</v>
      </c>
      <c r="K8" s="15">
        <f t="shared" si="4"/>
        <v>22652</v>
      </c>
      <c r="L8" s="15">
        <f t="shared" si="5"/>
        <v>5833</v>
      </c>
      <c r="M8" s="36">
        <f t="shared" si="6"/>
        <v>0.79522555731086542</v>
      </c>
      <c r="N8" s="36">
        <f t="shared" si="7"/>
        <v>0.20477444268913464</v>
      </c>
    </row>
    <row r="9" spans="1:14">
      <c r="A9" s="2">
        <v>6</v>
      </c>
      <c r="B9" s="34" t="s">
        <v>131</v>
      </c>
      <c r="C9" s="15">
        <f>SUM('RINCIAN REV'!E88:E100)</f>
        <v>4598</v>
      </c>
      <c r="D9" s="15">
        <f>SUM('RINCIAN REV'!F88:F100)</f>
        <v>13827</v>
      </c>
      <c r="E9" s="15">
        <f>SUM('RINCIAN REV'!I88:I100)</f>
        <v>2134</v>
      </c>
      <c r="F9" s="15">
        <f>SUM('RINCIAN REV'!S88:S100)</f>
        <v>574</v>
      </c>
      <c r="G9" s="15">
        <f t="shared" si="0"/>
        <v>8536</v>
      </c>
      <c r="H9" s="15">
        <f t="shared" si="1"/>
        <v>2296</v>
      </c>
      <c r="I9" s="15">
        <f t="shared" si="2"/>
        <v>2708</v>
      </c>
      <c r="J9" s="15">
        <f t="shared" si="3"/>
        <v>1890</v>
      </c>
      <c r="K9" s="15">
        <f t="shared" si="4"/>
        <v>10832</v>
      </c>
      <c r="L9" s="15">
        <f t="shared" si="5"/>
        <v>2995</v>
      </c>
      <c r="M9" s="36">
        <f t="shared" si="6"/>
        <v>0.78339480726115573</v>
      </c>
      <c r="N9" s="36">
        <f t="shared" si="7"/>
        <v>0.21660519273884429</v>
      </c>
    </row>
    <row r="10" spans="1:14">
      <c r="A10" s="2">
        <v>7</v>
      </c>
      <c r="B10" s="34" t="s">
        <v>151</v>
      </c>
      <c r="C10" s="15">
        <f>SUM('RINCIAN REV'!E101:E109)</f>
        <v>2526</v>
      </c>
      <c r="D10" s="15">
        <f>SUM('RINCIAN REV'!F101:F109)</f>
        <v>7382</v>
      </c>
      <c r="E10" s="15">
        <f>SUM('RINCIAN REV'!I101:I109)</f>
        <v>998</v>
      </c>
      <c r="F10" s="15">
        <f>SUM('RINCIAN REV'!S101:S109)</f>
        <v>765</v>
      </c>
      <c r="G10" s="15">
        <f t="shared" si="0"/>
        <v>3992</v>
      </c>
      <c r="H10" s="15">
        <f t="shared" si="1"/>
        <v>3060</v>
      </c>
      <c r="I10" s="15">
        <f t="shared" si="2"/>
        <v>1763</v>
      </c>
      <c r="J10" s="15">
        <f t="shared" si="3"/>
        <v>763</v>
      </c>
      <c r="K10" s="15">
        <f t="shared" si="4"/>
        <v>7052</v>
      </c>
      <c r="L10" s="15">
        <f t="shared" si="5"/>
        <v>330</v>
      </c>
      <c r="M10" s="36">
        <f t="shared" si="6"/>
        <v>0.95529666756976428</v>
      </c>
      <c r="N10" s="36">
        <f t="shared" si="7"/>
        <v>4.4703332430235707E-2</v>
      </c>
    </row>
    <row r="11" spans="1:14">
      <c r="A11" s="2">
        <v>8</v>
      </c>
      <c r="B11" s="34" t="s">
        <v>163</v>
      </c>
      <c r="C11" s="15">
        <f>SUM('RINCIAN REV'!E110:E124)</f>
        <v>9956</v>
      </c>
      <c r="D11" s="15">
        <f>SUM('RINCIAN REV'!F110:F124)</f>
        <v>30368</v>
      </c>
      <c r="E11" s="15">
        <f>SUM('RINCIAN REV'!I110:I124)</f>
        <v>3992</v>
      </c>
      <c r="F11" s="15">
        <f>SUM('RINCIAN REV'!S110:S124)</f>
        <v>3599</v>
      </c>
      <c r="G11" s="15">
        <f t="shared" si="0"/>
        <v>15968</v>
      </c>
      <c r="H11" s="15">
        <f t="shared" si="1"/>
        <v>14396</v>
      </c>
      <c r="I11" s="15">
        <f t="shared" si="2"/>
        <v>7591</v>
      </c>
      <c r="J11" s="15">
        <f t="shared" si="3"/>
        <v>2365</v>
      </c>
      <c r="K11" s="15">
        <f t="shared" si="4"/>
        <v>30364</v>
      </c>
      <c r="L11" s="15">
        <f t="shared" si="5"/>
        <v>4</v>
      </c>
      <c r="M11" s="36">
        <f t="shared" si="6"/>
        <v>0.99986828240252901</v>
      </c>
      <c r="N11" s="36">
        <f t="shared" si="7"/>
        <v>1.3171759747102212E-4</v>
      </c>
    </row>
    <row r="12" spans="1:14">
      <c r="A12" s="2">
        <v>9</v>
      </c>
      <c r="B12" s="34" t="s">
        <v>181</v>
      </c>
      <c r="C12" s="15">
        <f>SUM('RINCIAN REV'!E125:E140)</f>
        <v>26292</v>
      </c>
      <c r="D12" s="15">
        <f>SUM('RINCIAN REV'!F125:F140)</f>
        <v>82287</v>
      </c>
      <c r="E12" s="15">
        <f>SUM('RINCIAN REV'!I125:I140)</f>
        <v>16970</v>
      </c>
      <c r="F12" s="15">
        <f>SUM('RINCIAN REV'!S125:S140)</f>
        <v>1754</v>
      </c>
      <c r="G12" s="15">
        <f t="shared" si="0"/>
        <v>67880</v>
      </c>
      <c r="H12" s="15">
        <f t="shared" si="1"/>
        <v>7016</v>
      </c>
      <c r="I12" s="15">
        <f t="shared" si="2"/>
        <v>18724</v>
      </c>
      <c r="J12" s="15">
        <f t="shared" si="3"/>
        <v>7568</v>
      </c>
      <c r="K12" s="15">
        <f t="shared" si="4"/>
        <v>74896</v>
      </c>
      <c r="L12" s="15">
        <f t="shared" si="5"/>
        <v>7391</v>
      </c>
      <c r="M12" s="36">
        <f t="shared" si="6"/>
        <v>0.91018022287846201</v>
      </c>
      <c r="N12" s="36">
        <f t="shared" si="7"/>
        <v>8.9819777121538033E-2</v>
      </c>
    </row>
    <row r="13" spans="1:14">
      <c r="A13" s="2">
        <v>10</v>
      </c>
      <c r="B13" s="34" t="s">
        <v>202</v>
      </c>
      <c r="C13" s="15">
        <f>SUM('RINCIAN REV'!E141:E147)</f>
        <v>3174</v>
      </c>
      <c r="D13" s="15">
        <f>SUM('RINCIAN REV'!F141:F147)</f>
        <v>9729</v>
      </c>
      <c r="E13" s="15">
        <f>SUM('RINCIAN REV'!I141:I147)</f>
        <v>500</v>
      </c>
      <c r="F13" s="15">
        <f>SUM('RINCIAN REV'!S141:S147)</f>
        <v>1373</v>
      </c>
      <c r="G13" s="15">
        <f t="shared" si="0"/>
        <v>2000</v>
      </c>
      <c r="H13" s="15">
        <f t="shared" si="1"/>
        <v>5492</v>
      </c>
      <c r="I13" s="15">
        <f t="shared" si="2"/>
        <v>1873</v>
      </c>
      <c r="J13" s="15">
        <f t="shared" si="3"/>
        <v>1301</v>
      </c>
      <c r="K13" s="15">
        <f t="shared" si="4"/>
        <v>7492</v>
      </c>
      <c r="L13" s="15">
        <f t="shared" si="5"/>
        <v>2237</v>
      </c>
      <c r="M13" s="36">
        <f t="shared" si="6"/>
        <v>0.77006886627608184</v>
      </c>
      <c r="N13" s="36">
        <f t="shared" si="7"/>
        <v>0.22993113372391819</v>
      </c>
    </row>
    <row r="14" spans="1:14">
      <c r="A14" s="2"/>
      <c r="B14" s="2"/>
      <c r="C14" s="35">
        <f>SUM(C4:C13)</f>
        <v>96067</v>
      </c>
      <c r="D14" s="35">
        <f>SUM(D4:D13)</f>
        <v>292879</v>
      </c>
      <c r="E14" s="35">
        <f t="shared" ref="E14:F14" si="8">SUM(E4:E13)</f>
        <v>37438</v>
      </c>
      <c r="F14" s="35">
        <f t="shared" si="8"/>
        <v>24255</v>
      </c>
      <c r="G14" s="45">
        <f t="shared" ref="G14" si="9">SUM(G4:G13)</f>
        <v>149752</v>
      </c>
      <c r="H14" s="45">
        <f t="shared" ref="H14" si="10">SUM(H4:H13)</f>
        <v>97020</v>
      </c>
      <c r="I14" s="35">
        <f t="shared" ref="I14" si="11">SUM(I4:I13)</f>
        <v>61693</v>
      </c>
      <c r="J14" s="35">
        <f t="shared" ref="J14" si="12">SUM(J4:J13)</f>
        <v>34374</v>
      </c>
      <c r="K14" s="44">
        <f t="shared" ref="K14" si="13">SUM(K4:K13)</f>
        <v>246772</v>
      </c>
      <c r="L14" s="44">
        <f t="shared" ref="L14" si="14">SUM(L4:L13)</f>
        <v>46107</v>
      </c>
      <c r="M14" s="93">
        <f t="shared" ref="M14" si="15">K14/D14</f>
        <v>0.84257321282850595</v>
      </c>
      <c r="N14" s="93">
        <f t="shared" ref="N14" si="16">L14/D14</f>
        <v>0.15742678717149403</v>
      </c>
    </row>
    <row r="15" spans="1:14">
      <c r="G15" s="126"/>
      <c r="H15" s="126"/>
    </row>
    <row r="16" spans="1:14">
      <c r="B16" s="27" t="s">
        <v>241</v>
      </c>
      <c r="C16" s="27">
        <v>4</v>
      </c>
    </row>
  </sheetData>
  <mergeCells count="11">
    <mergeCell ref="I1:I2"/>
    <mergeCell ref="G1:H1"/>
    <mergeCell ref="A1:A2"/>
    <mergeCell ref="B1:B2"/>
    <mergeCell ref="C1:D1"/>
    <mergeCell ref="E1:F1"/>
    <mergeCell ref="J1:J2"/>
    <mergeCell ref="M1:M2"/>
    <mergeCell ref="N1:N2"/>
    <mergeCell ref="K1:K2"/>
    <mergeCell ref="L1:L2"/>
  </mergeCell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12" sqref="D12"/>
    </sheetView>
  </sheetViews>
  <sheetFormatPr defaultRowHeight="15"/>
  <cols>
    <col min="1" max="1" width="4.28515625" customWidth="1"/>
    <col min="2" max="2" width="20.85546875" customWidth="1"/>
    <col min="3" max="3" width="16.42578125" customWidth="1"/>
    <col min="4" max="4" width="16" customWidth="1"/>
    <col min="5" max="5" width="17.28515625" customWidth="1"/>
    <col min="6" max="6" width="11.140625" bestFit="1" customWidth="1"/>
    <col min="7" max="7" width="19.7109375" style="39" customWidth="1"/>
    <col min="8" max="8" width="9.140625" style="39"/>
  </cols>
  <sheetData>
    <row r="1" spans="1:8" ht="45">
      <c r="A1" s="37" t="s">
        <v>29</v>
      </c>
      <c r="B1" s="38" t="s">
        <v>242</v>
      </c>
      <c r="C1" s="38" t="s">
        <v>243</v>
      </c>
      <c r="D1" s="38" t="s">
        <v>244</v>
      </c>
      <c r="E1" s="38" t="s">
        <v>245</v>
      </c>
      <c r="F1" s="38" t="s">
        <v>246</v>
      </c>
    </row>
    <row r="2" spans="1:8" ht="45">
      <c r="A2" s="7">
        <v>1</v>
      </c>
      <c r="B2" s="40" t="s">
        <v>247</v>
      </c>
      <c r="C2" s="94">
        <f>'Cakupan Air Bersih'!D14</f>
        <v>292879</v>
      </c>
      <c r="D2" s="94">
        <f>'Cakupan Air Bersih'!K14</f>
        <v>246772</v>
      </c>
      <c r="E2" s="41">
        <f>C2-D2</f>
        <v>46107</v>
      </c>
      <c r="F2" s="42">
        <f>D2/C2*100</f>
        <v>84.257321282850597</v>
      </c>
      <c r="G2" s="39" t="s">
        <v>248</v>
      </c>
      <c r="H2" s="39" t="s">
        <v>251</v>
      </c>
    </row>
    <row r="3" spans="1:8" ht="45">
      <c r="A3" s="7">
        <v>2</v>
      </c>
      <c r="B3" s="40" t="s">
        <v>249</v>
      </c>
      <c r="C3" s="94">
        <f>C2</f>
        <v>292879</v>
      </c>
      <c r="D3" s="94">
        <f>'Cakupan Air Bersih'!G14</f>
        <v>149752</v>
      </c>
      <c r="E3" s="41">
        <f t="shared" ref="E3:E5" si="0">C3-D3</f>
        <v>143127</v>
      </c>
      <c r="F3" s="42">
        <f t="shared" ref="F3:F5" si="1">D3/C3*100</f>
        <v>51.131013148774748</v>
      </c>
      <c r="G3" s="39" t="s">
        <v>250</v>
      </c>
      <c r="H3" s="39" t="s">
        <v>256</v>
      </c>
    </row>
    <row r="4" spans="1:8">
      <c r="A4" s="7">
        <v>3</v>
      </c>
      <c r="B4" s="40" t="s">
        <v>252</v>
      </c>
      <c r="C4" s="94">
        <f t="shared" ref="C4:C5" si="2">C3</f>
        <v>292879</v>
      </c>
      <c r="D4" s="94">
        <f>D3</f>
        <v>149752</v>
      </c>
      <c r="E4" s="41">
        <f t="shared" si="0"/>
        <v>143127</v>
      </c>
      <c r="F4" s="42">
        <f t="shared" si="1"/>
        <v>51.131013148774748</v>
      </c>
    </row>
    <row r="5" spans="1:8" ht="30">
      <c r="A5" s="7">
        <v>4</v>
      </c>
      <c r="B5" s="40" t="s">
        <v>253</v>
      </c>
      <c r="C5" s="94">
        <f t="shared" si="2"/>
        <v>292879</v>
      </c>
      <c r="D5" s="94">
        <f>'Cakupan Air Bersih'!H14</f>
        <v>97020</v>
      </c>
      <c r="E5" s="41">
        <f t="shared" si="0"/>
        <v>195859</v>
      </c>
      <c r="F5" s="42">
        <f t="shared" si="1"/>
        <v>33.126308134075849</v>
      </c>
    </row>
    <row r="6" spans="1:8">
      <c r="A6" s="39"/>
      <c r="B6" s="43"/>
    </row>
    <row r="7" spans="1:8" ht="45">
      <c r="A7" s="37" t="s">
        <v>29</v>
      </c>
      <c r="B7" s="38" t="s">
        <v>242</v>
      </c>
      <c r="C7" s="38" t="s">
        <v>243</v>
      </c>
      <c r="D7" s="38" t="s">
        <v>244</v>
      </c>
      <c r="E7" s="38" t="s">
        <v>245</v>
      </c>
      <c r="F7" s="38" t="s">
        <v>246</v>
      </c>
    </row>
    <row r="8" spans="1:8" ht="45">
      <c r="A8" s="7">
        <v>1</v>
      </c>
      <c r="B8" s="40" t="s">
        <v>247</v>
      </c>
      <c r="C8" s="113">
        <f>'Cakupan Air Bersih'!C14</f>
        <v>96067</v>
      </c>
      <c r="D8" s="113">
        <f>'Cakupan Air Bersih'!I14</f>
        <v>61693</v>
      </c>
      <c r="E8" s="41">
        <f>C8-D8</f>
        <v>34374</v>
      </c>
      <c r="F8" s="42">
        <f>D8/C8*100</f>
        <v>64.218722350026553</v>
      </c>
    </row>
    <row r="9" spans="1:8" ht="45">
      <c r="A9" s="7">
        <v>2</v>
      </c>
      <c r="B9" s="40" t="s">
        <v>249</v>
      </c>
      <c r="C9" s="94">
        <f>C8</f>
        <v>96067</v>
      </c>
      <c r="D9" s="113">
        <f>'Cakupan Air Bersih'!E14</f>
        <v>37438</v>
      </c>
      <c r="E9" s="41">
        <f t="shared" ref="E9:E11" si="3">C9-D9</f>
        <v>58629</v>
      </c>
      <c r="F9" s="42">
        <f t="shared" ref="F9:F11" si="4">D9/C9*100</f>
        <v>38.970718352816263</v>
      </c>
    </row>
    <row r="10" spans="1:8">
      <c r="A10" s="7">
        <v>3</v>
      </c>
      <c r="B10" s="40" t="s">
        <v>252</v>
      </c>
      <c r="C10" s="94">
        <f t="shared" ref="C10:C11" si="5">C9</f>
        <v>96067</v>
      </c>
      <c r="D10" s="94">
        <f>D9</f>
        <v>37438</v>
      </c>
      <c r="E10" s="41">
        <f t="shared" si="3"/>
        <v>58629</v>
      </c>
      <c r="F10" s="42">
        <f t="shared" si="4"/>
        <v>38.970718352816263</v>
      </c>
    </row>
    <row r="11" spans="1:8" ht="30">
      <c r="A11" s="7">
        <v>4</v>
      </c>
      <c r="B11" s="40" t="s">
        <v>253</v>
      </c>
      <c r="C11" s="94">
        <f t="shared" si="5"/>
        <v>96067</v>
      </c>
      <c r="D11" s="113">
        <f>'Cakupan Air Bersih'!F14</f>
        <v>24255</v>
      </c>
      <c r="E11" s="41">
        <f t="shared" si="3"/>
        <v>71812</v>
      </c>
      <c r="F11" s="42">
        <f t="shared" si="4"/>
        <v>25.248003997210276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PLG.DESA</vt:lpstr>
      <vt:lpstr>RINCIAN</vt:lpstr>
      <vt:lpstr>RINCIAN REV</vt:lpstr>
      <vt:lpstr>Cakupan Air Bersih</vt:lpstr>
      <vt:lpstr>APLIKASI</vt:lpstr>
      <vt:lpstr>PLG.DESA!Print_Area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2022-12-15T01:00:15Z</dcterms:created>
  <dcterms:modified xsi:type="dcterms:W3CDTF">2023-10-06T00:06:21Z</dcterms:modified>
</cp:coreProperties>
</file>