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73104E6-5AEF-44B9-8C89-AC2B1524CDA7}" xr6:coauthVersionLast="47" xr6:coauthVersionMax="47" xr10:uidLastSave="{00000000-0000-0000-0000-000000000000}"/>
  <bookViews>
    <workbookView xWindow="9510" yWindow="0" windowWidth="9780" windowHeight="10170" firstSheet="5" activeTab="5" xr2:uid="{00000000-000D-0000-FFFF-FFFF00000000}"/>
  </bookViews>
  <sheets>
    <sheet name="Februari" sheetId="1" state="hidden" r:id="rId1"/>
    <sheet name="Maret" sheetId="4" state="hidden" r:id="rId2"/>
    <sheet name="April" sheetId="5" state="hidden" r:id="rId3"/>
    <sheet name="Sheet2" sheetId="2" state="hidden" r:id="rId4"/>
    <sheet name="Rincian Kec." sheetId="57" r:id="rId5"/>
    <sheet name="Rincian Kel." sheetId="66" r:id="rId6"/>
    <sheet name="Gabungan" sheetId="67" r:id="rId7"/>
    <sheet name="Rekap" sheetId="68" r:id="rId8"/>
    <sheet name="Sheet1" sheetId="69" r:id="rId9"/>
    <sheet name="Sheet3" sheetId="70" r:id="rId10"/>
    <sheet name="Sheet4" sheetId="71" r:id="rId11"/>
  </sheets>
  <definedNames>
    <definedName name="_xlnm.Print_Area" localSheetId="2">April!$A$1:$N$94</definedName>
    <definedName name="_xlnm.Print_Area" localSheetId="0">Februari!$A$1:$N$94</definedName>
    <definedName name="_xlnm.Print_Area" localSheetId="6">Gabungan!$A$1:$M$87</definedName>
    <definedName name="_xlnm.Print_Area" localSheetId="1">Maret!$A$1:$N$94</definedName>
    <definedName name="_xlnm.Print_Area" localSheetId="4">'Rincian Kec.'!$A$1:$AC$77</definedName>
    <definedName name="_xlnm.Print_Area" localSheetId="5">'Rincian Kel.'!$A$1:$M$54</definedName>
  </definedNames>
  <calcPr calcId="191029"/>
</workbook>
</file>

<file path=xl/calcChain.xml><?xml version="1.0" encoding="utf-8"?>
<calcChain xmlns="http://schemas.openxmlformats.org/spreadsheetml/2006/main">
  <c r="K13" i="71" l="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12" i="71"/>
  <c r="B64" i="71"/>
  <c r="B63" i="71" s="1"/>
  <c r="B58" i="71"/>
  <c r="B57" i="71" s="1"/>
  <c r="B54" i="71"/>
  <c r="B50" i="71"/>
  <c r="B45" i="71"/>
  <c r="B44" i="71" s="1"/>
  <c r="B41" i="71"/>
  <c r="J81" i="71"/>
  <c r="I81" i="71"/>
  <c r="F45" i="71"/>
  <c r="F44" i="71" s="1"/>
  <c r="F40" i="71"/>
  <c r="F37" i="71"/>
  <c r="F35" i="71"/>
  <c r="F31" i="71"/>
  <c r="F30" i="71" s="1"/>
  <c r="F26" i="71"/>
  <c r="F23" i="71"/>
  <c r="F20" i="71"/>
  <c r="K81" i="71" l="1"/>
  <c r="F34" i="71"/>
  <c r="B49" i="71"/>
  <c r="D13" i="69" l="1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12" i="69"/>
  <c r="C81" i="69"/>
  <c r="B81" i="69"/>
  <c r="G45" i="69"/>
  <c r="G44" i="69" s="1"/>
  <c r="G40" i="69"/>
  <c r="G37" i="69"/>
  <c r="G35" i="69"/>
  <c r="G31" i="69"/>
  <c r="G30" i="69" s="1"/>
  <c r="G26" i="69"/>
  <c r="G23" i="69"/>
  <c r="G20" i="69"/>
  <c r="G14" i="69"/>
  <c r="G11" i="69"/>
  <c r="D81" i="69" l="1"/>
  <c r="D85" i="69" s="1"/>
  <c r="G10" i="69"/>
  <c r="G34" i="69"/>
  <c r="G47" i="69" l="1"/>
  <c r="B66" i="70"/>
  <c r="B65" i="70" s="1"/>
  <c r="B60" i="70"/>
  <c r="B59" i="70" s="1"/>
  <c r="B56" i="70"/>
  <c r="B52" i="70"/>
  <c r="B47" i="70"/>
  <c r="B46" i="70" s="1"/>
  <c r="B43" i="70"/>
  <c r="B39" i="70"/>
  <c r="F45" i="70"/>
  <c r="F44" i="70" s="1"/>
  <c r="F40" i="70"/>
  <c r="F37" i="70"/>
  <c r="F35" i="70"/>
  <c r="F31" i="70"/>
  <c r="F30" i="70" s="1"/>
  <c r="F26" i="70"/>
  <c r="F23" i="70"/>
  <c r="F20" i="70"/>
  <c r="F14" i="70"/>
  <c r="F11" i="70"/>
  <c r="D12" i="70"/>
  <c r="B51" i="70" l="1"/>
  <c r="B72" i="70" s="1"/>
  <c r="D70" i="70" s="1"/>
  <c r="F10" i="70"/>
  <c r="F34" i="70"/>
  <c r="D63" i="57"/>
  <c r="D62" i="57" s="1"/>
  <c r="D57" i="57"/>
  <c r="D53" i="57"/>
  <c r="D49" i="57"/>
  <c r="D44" i="57"/>
  <c r="D33" i="57"/>
  <c r="D29" i="57"/>
  <c r="D20" i="57"/>
  <c r="D15" i="57"/>
  <c r="D11" i="57"/>
  <c r="D39" i="66"/>
  <c r="D36" i="66"/>
  <c r="D14" i="66"/>
  <c r="H11" i="67"/>
  <c r="H15" i="67"/>
  <c r="H20" i="67"/>
  <c r="H26" i="67"/>
  <c r="H29" i="67"/>
  <c r="H33" i="67"/>
  <c r="H38" i="67"/>
  <c r="H46" i="67"/>
  <c r="H50" i="67"/>
  <c r="H54" i="67"/>
  <c r="H59" i="67"/>
  <c r="H72" i="67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1" i="70"/>
  <c r="D72" i="70"/>
  <c r="D73" i="70"/>
  <c r="D74" i="70"/>
  <c r="D75" i="70"/>
  <c r="D76" i="70"/>
  <c r="D77" i="70"/>
  <c r="D78" i="70"/>
  <c r="D79" i="70"/>
  <c r="C80" i="70"/>
  <c r="D26" i="70"/>
  <c r="H29" i="57"/>
  <c r="H20" i="57"/>
  <c r="H15" i="57"/>
  <c r="H11" i="57"/>
  <c r="H63" i="57"/>
  <c r="D49" i="70" l="1"/>
  <c r="F47" i="70"/>
  <c r="D48" i="57"/>
  <c r="B81" i="70"/>
  <c r="D80" i="70" s="1"/>
  <c r="H10" i="67"/>
  <c r="H45" i="67"/>
  <c r="B82" i="70" l="1"/>
  <c r="H49" i="57" l="1"/>
  <c r="H14" i="66" l="1"/>
  <c r="H39" i="66"/>
  <c r="H34" i="66" l="1"/>
  <c r="D59" i="67" l="1"/>
  <c r="D74" i="67"/>
  <c r="D72" i="67" s="1"/>
  <c r="D36" i="67"/>
  <c r="F56" i="67"/>
  <c r="L56" i="67" s="1"/>
  <c r="F55" i="67"/>
  <c r="L55" i="67" s="1"/>
  <c r="E54" i="67"/>
  <c r="D54" i="67"/>
  <c r="F52" i="67"/>
  <c r="I52" i="67" s="1"/>
  <c r="J52" i="67" s="1"/>
  <c r="F51" i="67"/>
  <c r="D47" i="67"/>
  <c r="D31" i="67"/>
  <c r="D24" i="67"/>
  <c r="D23" i="67"/>
  <c r="D22" i="67"/>
  <c r="D21" i="67"/>
  <c r="D17" i="67"/>
  <c r="F61" i="67"/>
  <c r="I61" i="67" s="1"/>
  <c r="J61" i="67" s="1"/>
  <c r="H44" i="66"/>
  <c r="L52" i="67" l="1"/>
  <c r="I55" i="67"/>
  <c r="J55" i="67" s="1"/>
  <c r="I56" i="67"/>
  <c r="J56" i="67" s="1"/>
  <c r="F54" i="67"/>
  <c r="L54" i="67" s="1"/>
  <c r="F50" i="67"/>
  <c r="L50" i="67" s="1"/>
  <c r="L51" i="67"/>
  <c r="I51" i="67"/>
  <c r="J51" i="67" s="1"/>
  <c r="D50" i="67"/>
  <c r="L61" i="67"/>
  <c r="F41" i="66" l="1"/>
  <c r="L41" i="66" s="1"/>
  <c r="F40" i="66"/>
  <c r="I40" i="66" s="1"/>
  <c r="J40" i="66" s="1"/>
  <c r="E39" i="66"/>
  <c r="D34" i="66"/>
  <c r="D33" i="66" s="1"/>
  <c r="F35" i="66"/>
  <c r="I35" i="66" s="1"/>
  <c r="J35" i="66" s="1"/>
  <c r="F37" i="66"/>
  <c r="I37" i="66" s="1"/>
  <c r="J37" i="66" s="1"/>
  <c r="F38" i="66"/>
  <c r="I38" i="66" s="1"/>
  <c r="J38" i="66" s="1"/>
  <c r="D44" i="66"/>
  <c r="D43" i="66" s="1"/>
  <c r="F45" i="66"/>
  <c r="L45" i="66" s="1"/>
  <c r="N18" i="68"/>
  <c r="L18" i="68"/>
  <c r="H18" i="68"/>
  <c r="N17" i="68"/>
  <c r="L17" i="68"/>
  <c r="H17" i="68"/>
  <c r="H16" i="68"/>
  <c r="N16" i="68" s="1"/>
  <c r="J15" i="68"/>
  <c r="G15" i="68"/>
  <c r="F15" i="68"/>
  <c r="H13" i="68"/>
  <c r="N13" i="68" s="1"/>
  <c r="H12" i="68"/>
  <c r="N12" i="68" s="1"/>
  <c r="J11" i="68"/>
  <c r="G11" i="68"/>
  <c r="F11" i="68"/>
  <c r="G10" i="68" l="1"/>
  <c r="G19" i="68" s="1"/>
  <c r="F10" i="68"/>
  <c r="F19" i="68" s="1"/>
  <c r="I17" i="68" s="1"/>
  <c r="M17" i="68" s="1"/>
  <c r="L35" i="66"/>
  <c r="L40" i="66"/>
  <c r="F44" i="66"/>
  <c r="F43" i="66" s="1"/>
  <c r="F34" i="66"/>
  <c r="J10" i="68"/>
  <c r="K13" i="68"/>
  <c r="L13" i="68" s="1"/>
  <c r="H11" i="68"/>
  <c r="N11" i="68" s="1"/>
  <c r="F39" i="66"/>
  <c r="L39" i="66" s="1"/>
  <c r="I41" i="66"/>
  <c r="J41" i="66" s="1"/>
  <c r="L38" i="66"/>
  <c r="L37" i="66"/>
  <c r="I45" i="66"/>
  <c r="J45" i="66" s="1"/>
  <c r="J19" i="68"/>
  <c r="K12" i="68"/>
  <c r="L12" i="68" s="1"/>
  <c r="H15" i="68"/>
  <c r="N15" i="68" s="1"/>
  <c r="K16" i="68"/>
  <c r="L16" i="68" s="1"/>
  <c r="I18" i="68" l="1"/>
  <c r="M18" i="68" s="1"/>
  <c r="K15" i="68"/>
  <c r="L15" i="68" s="1"/>
  <c r="H10" i="68"/>
  <c r="N10" i="68" l="1"/>
  <c r="N19" i="68" s="1"/>
  <c r="H19" i="68"/>
  <c r="K19" i="68" s="1"/>
  <c r="I13" i="68" l="1"/>
  <c r="M13" i="68" s="1"/>
  <c r="I12" i="68"/>
  <c r="I16" i="68"/>
  <c r="L19" i="68"/>
  <c r="I11" i="68" l="1"/>
  <c r="M12" i="68"/>
  <c r="I15" i="68"/>
  <c r="M16" i="68"/>
  <c r="I10" i="68" l="1"/>
  <c r="I19" i="68" s="1"/>
  <c r="M19" i="68" s="1"/>
  <c r="H26" i="66"/>
  <c r="H36" i="66" l="1"/>
  <c r="F46" i="57"/>
  <c r="L46" i="57" s="1"/>
  <c r="H33" i="66" l="1"/>
  <c r="H66" i="67"/>
  <c r="F30" i="67"/>
  <c r="F27" i="67"/>
  <c r="F26" i="67" s="1"/>
  <c r="F18" i="67"/>
  <c r="F34" i="67"/>
  <c r="F36" i="67"/>
  <c r="F35" i="67"/>
  <c r="F40" i="67"/>
  <c r="F39" i="67"/>
  <c r="F43" i="67"/>
  <c r="F48" i="67"/>
  <c r="F47" i="67"/>
  <c r="F60" i="67"/>
  <c r="F59" i="67" s="1"/>
  <c r="F63" i="67"/>
  <c r="F68" i="67"/>
  <c r="F69" i="67"/>
  <c r="F67" i="67"/>
  <c r="F74" i="67"/>
  <c r="F75" i="67"/>
  <c r="F76" i="67"/>
  <c r="F77" i="67"/>
  <c r="F73" i="67"/>
  <c r="I47" i="67" l="1"/>
  <c r="L47" i="67"/>
  <c r="I34" i="67"/>
  <c r="L34" i="67"/>
  <c r="I73" i="67"/>
  <c r="L73" i="67"/>
  <c r="I68" i="67"/>
  <c r="L68" i="67"/>
  <c r="L77" i="67"/>
  <c r="I77" i="67"/>
  <c r="I74" i="67"/>
  <c r="L74" i="67"/>
  <c r="L76" i="67"/>
  <c r="L75" i="67"/>
  <c r="I75" i="67"/>
  <c r="L69" i="67"/>
  <c r="I69" i="67"/>
  <c r="I67" i="67"/>
  <c r="L67" i="67"/>
  <c r="F62" i="67"/>
  <c r="F58" i="67" s="1"/>
  <c r="I63" i="67"/>
  <c r="L63" i="67"/>
  <c r="I60" i="67"/>
  <c r="L60" i="67"/>
  <c r="I48" i="67"/>
  <c r="L48" i="67"/>
  <c r="F42" i="67"/>
  <c r="L43" i="67"/>
  <c r="I43" i="67"/>
  <c r="F38" i="67"/>
  <c r="I40" i="67"/>
  <c r="L40" i="67"/>
  <c r="I39" i="67"/>
  <c r="L39" i="67"/>
  <c r="L36" i="67"/>
  <c r="I36" i="67"/>
  <c r="L35" i="67"/>
  <c r="I35" i="67"/>
  <c r="I27" i="67"/>
  <c r="L27" i="67"/>
  <c r="I30" i="67"/>
  <c r="L30" i="67"/>
  <c r="I18" i="67"/>
  <c r="L18" i="67"/>
  <c r="F66" i="67"/>
  <c r="F65" i="67" s="1"/>
  <c r="F33" i="67"/>
  <c r="L33" i="67" s="1"/>
  <c r="F72" i="67"/>
  <c r="F71" i="67" s="1"/>
  <c r="F46" i="67"/>
  <c r="F45" i="67" s="1"/>
  <c r="H71" i="67"/>
  <c r="F37" i="67" l="1"/>
  <c r="L72" i="67"/>
  <c r="L71" i="67"/>
  <c r="L66" i="67"/>
  <c r="I46" i="57"/>
  <c r="E26" i="66"/>
  <c r="D26" i="66"/>
  <c r="F28" i="66"/>
  <c r="L28" i="66" s="1"/>
  <c r="E31" i="66"/>
  <c r="E30" i="66" s="1"/>
  <c r="E36" i="66"/>
  <c r="F18" i="66"/>
  <c r="L18" i="66" s="1"/>
  <c r="F17" i="66"/>
  <c r="L17" i="66" s="1"/>
  <c r="F16" i="66"/>
  <c r="L16" i="66" s="1"/>
  <c r="F15" i="66"/>
  <c r="L15" i="66" s="1"/>
  <c r="F21" i="66"/>
  <c r="L21" i="66" s="1"/>
  <c r="F24" i="66"/>
  <c r="L24" i="66" s="1"/>
  <c r="F27" i="66"/>
  <c r="L27" i="66" s="1"/>
  <c r="F32" i="66"/>
  <c r="L32" i="66" s="1"/>
  <c r="E23" i="66"/>
  <c r="E20" i="66"/>
  <c r="E14" i="66"/>
  <c r="E11" i="66"/>
  <c r="F12" i="66"/>
  <c r="L12" i="66" s="1"/>
  <c r="E63" i="57"/>
  <c r="E62" i="57" s="1"/>
  <c r="E57" i="57"/>
  <c r="E56" i="57" s="1"/>
  <c r="E53" i="57"/>
  <c r="E49" i="57"/>
  <c r="E44" i="57"/>
  <c r="E43" i="57" s="1"/>
  <c r="E40" i="57"/>
  <c r="E37" i="57"/>
  <c r="E33" i="57"/>
  <c r="E29" i="57"/>
  <c r="E26" i="57"/>
  <c r="F27" i="57"/>
  <c r="F26" i="57" s="1"/>
  <c r="E15" i="57"/>
  <c r="E11" i="57"/>
  <c r="F54" i="57"/>
  <c r="L54" i="57" s="1"/>
  <c r="F50" i="57"/>
  <c r="F13" i="57"/>
  <c r="L13" i="57" s="1"/>
  <c r="F12" i="57"/>
  <c r="L12" i="57" s="1"/>
  <c r="F64" i="57"/>
  <c r="F67" i="57"/>
  <c r="L67" i="57" s="1"/>
  <c r="F68" i="57"/>
  <c r="L68" i="57" s="1"/>
  <c r="F66" i="57"/>
  <c r="L66" i="57" s="1"/>
  <c r="F65" i="57"/>
  <c r="L65" i="57" s="1"/>
  <c r="F60" i="57"/>
  <c r="L60" i="57" s="1"/>
  <c r="F59" i="57"/>
  <c r="L59" i="57" s="1"/>
  <c r="F58" i="57"/>
  <c r="L58" i="57" s="1"/>
  <c r="F45" i="57"/>
  <c r="L45" i="57" s="1"/>
  <c r="F41" i="57"/>
  <c r="L41" i="57" s="1"/>
  <c r="F38" i="57"/>
  <c r="L38" i="57" s="1"/>
  <c r="F35" i="57"/>
  <c r="L35" i="57" s="1"/>
  <c r="F34" i="57"/>
  <c r="L34" i="57" s="1"/>
  <c r="F23" i="57"/>
  <c r="L23" i="57" s="1"/>
  <c r="F24" i="57"/>
  <c r="L24" i="57" s="1"/>
  <c r="F22" i="57"/>
  <c r="L22" i="57" s="1"/>
  <c r="F21" i="57"/>
  <c r="L21" i="57" s="1"/>
  <c r="F17" i="57"/>
  <c r="L17" i="57" s="1"/>
  <c r="F18" i="57"/>
  <c r="L18" i="57" s="1"/>
  <c r="F16" i="57"/>
  <c r="F16" i="67"/>
  <c r="L50" i="57" l="1"/>
  <c r="L16" i="57"/>
  <c r="I16" i="57"/>
  <c r="L16" i="67"/>
  <c r="I16" i="67"/>
  <c r="E33" i="66"/>
  <c r="E34" i="66"/>
  <c r="I16" i="66"/>
  <c r="I18" i="66"/>
  <c r="I15" i="66"/>
  <c r="I27" i="66"/>
  <c r="I21" i="66"/>
  <c r="I32" i="66"/>
  <c r="F26" i="66"/>
  <c r="I28" i="66"/>
  <c r="J28" i="66" s="1"/>
  <c r="I24" i="66"/>
  <c r="I17" i="66"/>
  <c r="I12" i="66"/>
  <c r="E48" i="57"/>
  <c r="I66" i="57"/>
  <c r="I59" i="57"/>
  <c r="I50" i="57"/>
  <c r="F63" i="57"/>
  <c r="F62" i="57" s="1"/>
  <c r="I58" i="57"/>
  <c r="I35" i="57"/>
  <c r="I65" i="57"/>
  <c r="I64" i="57"/>
  <c r="L64" i="57"/>
  <c r="F57" i="57"/>
  <c r="F56" i="57" s="1"/>
  <c r="F53" i="57"/>
  <c r="I13" i="57"/>
  <c r="I54" i="57"/>
  <c r="I60" i="57"/>
  <c r="I68" i="57"/>
  <c r="F44" i="57"/>
  <c r="F43" i="57" s="1"/>
  <c r="I45" i="57"/>
  <c r="F40" i="57"/>
  <c r="I41" i="57"/>
  <c r="I38" i="57"/>
  <c r="F37" i="57"/>
  <c r="F33" i="57"/>
  <c r="I34" i="57"/>
  <c r="I24" i="57"/>
  <c r="I23" i="57"/>
  <c r="I21" i="57"/>
  <c r="F20" i="57"/>
  <c r="I22" i="57"/>
  <c r="I18" i="57"/>
  <c r="I17" i="57"/>
  <c r="F15" i="57"/>
  <c r="I12" i="57"/>
  <c r="F36" i="66"/>
  <c r="F33" i="66" s="1"/>
  <c r="E10" i="66"/>
  <c r="E36" i="57"/>
  <c r="E10" i="57"/>
  <c r="L27" i="57"/>
  <c r="L36" i="66" l="1"/>
  <c r="L34" i="66"/>
  <c r="F36" i="57"/>
  <c r="H33" i="57"/>
  <c r="H44" i="57"/>
  <c r="H57" i="57"/>
  <c r="L15" i="57" l="1"/>
  <c r="L20" i="57"/>
  <c r="L33" i="57"/>
  <c r="L44" i="57"/>
  <c r="L57" i="57"/>
  <c r="L63" i="57"/>
  <c r="L38" i="67"/>
  <c r="D33" i="67"/>
  <c r="J34" i="67"/>
  <c r="D38" i="67" l="1"/>
  <c r="J40" i="67"/>
  <c r="F24" i="67"/>
  <c r="F21" i="67"/>
  <c r="F17" i="67"/>
  <c r="F12" i="67"/>
  <c r="E79" i="67"/>
  <c r="J77" i="67"/>
  <c r="J75" i="67"/>
  <c r="J74" i="67"/>
  <c r="J73" i="67"/>
  <c r="D71" i="67"/>
  <c r="J69" i="67"/>
  <c r="J68" i="67"/>
  <c r="J67" i="67"/>
  <c r="D66" i="67"/>
  <c r="D65" i="67" s="1"/>
  <c r="J63" i="67"/>
  <c r="H62" i="67"/>
  <c r="D62" i="67"/>
  <c r="D58" i="67" s="1"/>
  <c r="J60" i="67"/>
  <c r="J48" i="67"/>
  <c r="J47" i="67"/>
  <c r="D46" i="67"/>
  <c r="D45" i="67" s="1"/>
  <c r="J43" i="67"/>
  <c r="H42" i="67"/>
  <c r="D42" i="67"/>
  <c r="J39" i="67"/>
  <c r="J36" i="67"/>
  <c r="J35" i="67"/>
  <c r="J30" i="67"/>
  <c r="J27" i="67"/>
  <c r="D26" i="67"/>
  <c r="J18" i="67"/>
  <c r="J16" i="67"/>
  <c r="F13" i="67"/>
  <c r="E46" i="66"/>
  <c r="E44" i="66" s="1"/>
  <c r="E43" i="66" s="1"/>
  <c r="D40" i="57"/>
  <c r="L42" i="67" l="1"/>
  <c r="H37" i="67"/>
  <c r="L37" i="67" s="1"/>
  <c r="L62" i="67"/>
  <c r="H58" i="67"/>
  <c r="L46" i="67"/>
  <c r="L45" i="67"/>
  <c r="L26" i="67"/>
  <c r="L59" i="67"/>
  <c r="I13" i="67"/>
  <c r="J13" i="67" s="1"/>
  <c r="L13" i="67"/>
  <c r="L12" i="67"/>
  <c r="I12" i="67"/>
  <c r="J12" i="67" s="1"/>
  <c r="I24" i="67"/>
  <c r="J24" i="67" s="1"/>
  <c r="L24" i="67"/>
  <c r="L21" i="67"/>
  <c r="I21" i="67"/>
  <c r="J21" i="67" s="1"/>
  <c r="I17" i="67"/>
  <c r="J17" i="67" s="1"/>
  <c r="L17" i="67"/>
  <c r="F31" i="67"/>
  <c r="F15" i="67"/>
  <c r="L15" i="67" s="1"/>
  <c r="D37" i="67"/>
  <c r="F23" i="67"/>
  <c r="F11" i="67"/>
  <c r="L11" i="67" s="1"/>
  <c r="F22" i="67"/>
  <c r="H65" i="67"/>
  <c r="L65" i="67" s="1"/>
  <c r="D29" i="67"/>
  <c r="D20" i="67"/>
  <c r="D15" i="67"/>
  <c r="D11" i="67"/>
  <c r="H79" i="67" l="1"/>
  <c r="D10" i="67"/>
  <c r="D79" i="67" s="1"/>
  <c r="L58" i="67"/>
  <c r="L31" i="67"/>
  <c r="I31" i="67"/>
  <c r="J31" i="67" s="1"/>
  <c r="L23" i="67"/>
  <c r="I23" i="67"/>
  <c r="J23" i="67" s="1"/>
  <c r="L22" i="67"/>
  <c r="I22" i="67"/>
  <c r="J22" i="67" s="1"/>
  <c r="F29" i="67"/>
  <c r="L29" i="67" s="1"/>
  <c r="F20" i="67"/>
  <c r="L20" i="67" s="1"/>
  <c r="F31" i="66"/>
  <c r="F30" i="66" s="1"/>
  <c r="F23" i="66"/>
  <c r="F14" i="66"/>
  <c r="F11" i="66"/>
  <c r="F10" i="67" l="1"/>
  <c r="F79" i="67" s="1"/>
  <c r="I79" i="67" s="1"/>
  <c r="L33" i="66"/>
  <c r="G56" i="67" l="1"/>
  <c r="K56" i="67" s="1"/>
  <c r="G55" i="67"/>
  <c r="K55" i="67" s="1"/>
  <c r="G16" i="67"/>
  <c r="G12" i="67"/>
  <c r="L10" i="67"/>
  <c r="L79" i="67" s="1"/>
  <c r="J12" i="66"/>
  <c r="J32" i="66"/>
  <c r="H31" i="66"/>
  <c r="D31" i="66"/>
  <c r="D30" i="66" s="1"/>
  <c r="J27" i="66"/>
  <c r="L26" i="66"/>
  <c r="J24" i="66"/>
  <c r="H23" i="66"/>
  <c r="D23" i="66"/>
  <c r="J21" i="66"/>
  <c r="H20" i="66"/>
  <c r="D20" i="66"/>
  <c r="J18" i="66"/>
  <c r="J17" i="66"/>
  <c r="J16" i="66"/>
  <c r="J15" i="66"/>
  <c r="L14" i="66"/>
  <c r="H11" i="66"/>
  <c r="D11" i="66"/>
  <c r="D10" i="66" l="1"/>
  <c r="D46" i="66" s="1"/>
  <c r="L23" i="66"/>
  <c r="L11" i="66"/>
  <c r="H10" i="66"/>
  <c r="G52" i="67"/>
  <c r="K52" i="67" s="1"/>
  <c r="G51" i="67"/>
  <c r="K51" i="67" s="1"/>
  <c r="G60" i="67"/>
  <c r="K60" i="67" s="1"/>
  <c r="G61" i="67"/>
  <c r="K61" i="67" s="1"/>
  <c r="K12" i="67"/>
  <c r="G75" i="67"/>
  <c r="K75" i="67" s="1"/>
  <c r="G48" i="67"/>
  <c r="K48" i="67" s="1"/>
  <c r="G77" i="67"/>
  <c r="K77" i="67" s="1"/>
  <c r="G74" i="67"/>
  <c r="K74" i="67" s="1"/>
  <c r="G76" i="67"/>
  <c r="G13" i="67"/>
  <c r="K13" i="67" s="1"/>
  <c r="G36" i="67"/>
  <c r="K36" i="67" s="1"/>
  <c r="G73" i="67"/>
  <c r="K73" i="67" s="1"/>
  <c r="G24" i="67"/>
  <c r="K24" i="67" s="1"/>
  <c r="G21" i="67"/>
  <c r="K21" i="67" s="1"/>
  <c r="G31" i="67"/>
  <c r="K31" i="67" s="1"/>
  <c r="J79" i="67"/>
  <c r="G47" i="67"/>
  <c r="K47" i="67" s="1"/>
  <c r="G27" i="67"/>
  <c r="K27" i="67" s="1"/>
  <c r="G17" i="67"/>
  <c r="G39" i="67"/>
  <c r="K39" i="67" s="1"/>
  <c r="G35" i="67"/>
  <c r="K35" i="67" s="1"/>
  <c r="G68" i="67"/>
  <c r="K68" i="67" s="1"/>
  <c r="G30" i="67"/>
  <c r="K30" i="67" s="1"/>
  <c r="G40" i="67"/>
  <c r="K40" i="67" s="1"/>
  <c r="G34" i="67"/>
  <c r="K34" i="67" s="1"/>
  <c r="G18" i="67"/>
  <c r="K18" i="67" s="1"/>
  <c r="G22" i="67"/>
  <c r="K22" i="67" s="1"/>
  <c r="G43" i="67"/>
  <c r="K43" i="67" s="1"/>
  <c r="G67" i="67"/>
  <c r="K67" i="67" s="1"/>
  <c r="G69" i="67"/>
  <c r="K69" i="67" s="1"/>
  <c r="G23" i="67"/>
  <c r="K23" i="67" s="1"/>
  <c r="G63" i="67"/>
  <c r="K63" i="67" s="1"/>
  <c r="H30" i="66"/>
  <c r="L31" i="66"/>
  <c r="F20" i="66"/>
  <c r="L30" i="66" l="1"/>
  <c r="K17" i="67"/>
  <c r="G79" i="67"/>
  <c r="K79" i="67" s="1"/>
  <c r="F10" i="66"/>
  <c r="L20" i="66"/>
  <c r="K16" i="67"/>
  <c r="L10" i="66" l="1"/>
  <c r="F46" i="66"/>
  <c r="G35" i="66" s="1"/>
  <c r="K35" i="66" s="1"/>
  <c r="H43" i="66"/>
  <c r="G18" i="66" l="1"/>
  <c r="K18" i="66" s="1"/>
  <c r="G45" i="66"/>
  <c r="K45" i="66" s="1"/>
  <c r="G28" i="66"/>
  <c r="K28" i="66" s="1"/>
  <c r="G27" i="66"/>
  <c r="K27" i="66" s="1"/>
  <c r="G15" i="66"/>
  <c r="K15" i="66" s="1"/>
  <c r="G16" i="66"/>
  <c r="K16" i="66" s="1"/>
  <c r="G40" i="66"/>
  <c r="K40" i="66" s="1"/>
  <c r="G41" i="66"/>
  <c r="K41" i="66" s="1"/>
  <c r="G12" i="66"/>
  <c r="K12" i="66" s="1"/>
  <c r="G21" i="66"/>
  <c r="K21" i="66" s="1"/>
  <c r="G24" i="66"/>
  <c r="K24" i="66" s="1"/>
  <c r="G38" i="66"/>
  <c r="K38" i="66" s="1"/>
  <c r="G32" i="66"/>
  <c r="K32" i="66" s="1"/>
  <c r="G17" i="66"/>
  <c r="K17" i="66" s="1"/>
  <c r="G37" i="66"/>
  <c r="K37" i="66" s="1"/>
  <c r="H46" i="66"/>
  <c r="I46" i="66" s="1"/>
  <c r="L44" i="66"/>
  <c r="L43" i="66"/>
  <c r="L46" i="66" s="1"/>
  <c r="H43" i="57"/>
  <c r="H37" i="57"/>
  <c r="J46" i="66" l="1"/>
  <c r="G46" i="66"/>
  <c r="L37" i="57"/>
  <c r="L43" i="57"/>
  <c r="H53" i="57"/>
  <c r="H48" i="57" s="1"/>
  <c r="K46" i="66" l="1"/>
  <c r="L53" i="57"/>
  <c r="H56" i="57"/>
  <c r="L56" i="57" l="1"/>
  <c r="E69" i="57"/>
  <c r="F51" i="57"/>
  <c r="F49" i="57" s="1"/>
  <c r="F30" i="57"/>
  <c r="J18" i="57"/>
  <c r="J68" i="57"/>
  <c r="J66" i="57"/>
  <c r="J65" i="57"/>
  <c r="J64" i="57"/>
  <c r="H62" i="57"/>
  <c r="J60" i="57"/>
  <c r="J59" i="57"/>
  <c r="J58" i="57"/>
  <c r="J54" i="57"/>
  <c r="J50" i="57"/>
  <c r="J46" i="57"/>
  <c r="J45" i="57"/>
  <c r="J41" i="57"/>
  <c r="H40" i="57"/>
  <c r="J38" i="57"/>
  <c r="D37" i="57"/>
  <c r="D36" i="57" s="1"/>
  <c r="J35" i="57"/>
  <c r="J34" i="57"/>
  <c r="F31" i="57"/>
  <c r="J27" i="57"/>
  <c r="H26" i="57"/>
  <c r="D26" i="57"/>
  <c r="D10" i="57" s="1"/>
  <c r="J24" i="57"/>
  <c r="J23" i="57"/>
  <c r="J22" i="57"/>
  <c r="J21" i="57"/>
  <c r="J17" i="57"/>
  <c r="J16" i="57"/>
  <c r="J13" i="57"/>
  <c r="J12" i="57"/>
  <c r="L26" i="57" l="1"/>
  <c r="H10" i="57"/>
  <c r="F48" i="57"/>
  <c r="L49" i="57"/>
  <c r="L51" i="57"/>
  <c r="I51" i="57"/>
  <c r="J51" i="57" s="1"/>
  <c r="L31" i="57"/>
  <c r="I31" i="57"/>
  <c r="J31" i="57" s="1"/>
  <c r="L30" i="57"/>
  <c r="I30" i="57"/>
  <c r="J30" i="57" s="1"/>
  <c r="L62" i="57"/>
  <c r="H36" i="57"/>
  <c r="L40" i="57"/>
  <c r="D43" i="57"/>
  <c r="F29" i="57"/>
  <c r="L29" i="57" s="1"/>
  <c r="F11" i="57"/>
  <c r="D56" i="57"/>
  <c r="H69" i="57" l="1"/>
  <c r="F10" i="57"/>
  <c r="F69" i="57" s="1"/>
  <c r="L11" i="57"/>
  <c r="L36" i="57"/>
  <c r="L48" i="57"/>
  <c r="D69" i="57"/>
  <c r="I69" i="57" l="1"/>
  <c r="J69" i="57" s="1"/>
  <c r="L10" i="57"/>
  <c r="L69" i="57" s="1"/>
  <c r="E160" i="5" l="1"/>
  <c r="F132" i="5"/>
  <c r="F129" i="5"/>
  <c r="F124" i="5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F117" i="5"/>
  <c r="P116" i="5"/>
  <c r="Q116" i="5" s="1"/>
  <c r="P115" i="5"/>
  <c r="Q115" i="5" s="1"/>
  <c r="I115" i="5"/>
  <c r="P114" i="5"/>
  <c r="Q114" i="5" s="1"/>
  <c r="P113" i="5"/>
  <c r="Q113" i="5" s="1"/>
  <c r="P112" i="5"/>
  <c r="Q112" i="5" s="1"/>
  <c r="P111" i="5"/>
  <c r="Q111" i="5" s="1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F105" i="5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T92" i="5" s="1"/>
  <c r="P91" i="5"/>
  <c r="T91" i="5" s="1"/>
  <c r="P90" i="5"/>
  <c r="T90" i="5" s="1"/>
  <c r="P89" i="5"/>
  <c r="T89" i="5" s="1"/>
  <c r="P88" i="5"/>
  <c r="T88" i="5" s="1"/>
  <c r="P87" i="5"/>
  <c r="T87" i="5" s="1"/>
  <c r="P85" i="5"/>
  <c r="T85" i="5" s="1"/>
  <c r="P84" i="5"/>
  <c r="T84" i="5" s="1"/>
  <c r="P83" i="5"/>
  <c r="T83" i="5" s="1"/>
  <c r="M83" i="5"/>
  <c r="M82" i="5" s="1"/>
  <c r="K82" i="5"/>
  <c r="I82" i="5"/>
  <c r="E82" i="5"/>
  <c r="P82" i="5" s="1"/>
  <c r="P81" i="5"/>
  <c r="T81" i="5" s="1"/>
  <c r="M81" i="5"/>
  <c r="P80" i="5"/>
  <c r="T80" i="5" s="1"/>
  <c r="M80" i="5"/>
  <c r="M79" i="5" s="1"/>
  <c r="N79" i="5"/>
  <c r="N76" i="5" s="1"/>
  <c r="K79" i="5"/>
  <c r="I79" i="5"/>
  <c r="E79" i="5"/>
  <c r="P79" i="5" s="1"/>
  <c r="P78" i="5"/>
  <c r="T78" i="5" s="1"/>
  <c r="M78" i="5"/>
  <c r="P77" i="5"/>
  <c r="T77" i="5" s="1"/>
  <c r="M77" i="5"/>
  <c r="M76" i="5" s="1"/>
  <c r="K76" i="5"/>
  <c r="I76" i="5"/>
  <c r="G76" i="5"/>
  <c r="F76" i="5"/>
  <c r="E76" i="5"/>
  <c r="P76" i="5" s="1"/>
  <c r="P75" i="5"/>
  <c r="S75" i="5" s="1"/>
  <c r="M75" i="5"/>
  <c r="P74" i="5"/>
  <c r="T74" i="5" s="1"/>
  <c r="M74" i="5"/>
  <c r="M73" i="5" s="1"/>
  <c r="N73" i="5"/>
  <c r="I73" i="5"/>
  <c r="G73" i="5"/>
  <c r="F73" i="5"/>
  <c r="E73" i="5"/>
  <c r="P73" i="5" s="1"/>
  <c r="P72" i="5"/>
  <c r="S72" i="5" s="1"/>
  <c r="M72" i="5"/>
  <c r="P71" i="5"/>
  <c r="T71" i="5" s="1"/>
  <c r="M71" i="5"/>
  <c r="P70" i="5"/>
  <c r="Q70" i="5" s="1"/>
  <c r="M70" i="5"/>
  <c r="P69" i="5"/>
  <c r="T69" i="5" s="1"/>
  <c r="M69" i="5"/>
  <c r="P68" i="5"/>
  <c r="T68" i="5" s="1"/>
  <c r="M68" i="5"/>
  <c r="P67" i="5"/>
  <c r="T67" i="5" s="1"/>
  <c r="M67" i="5"/>
  <c r="P66" i="5"/>
  <c r="T66" i="5" s="1"/>
  <c r="M66" i="5"/>
  <c r="O65" i="5"/>
  <c r="N65" i="5"/>
  <c r="I65" i="5"/>
  <c r="G65" i="5"/>
  <c r="F65" i="5"/>
  <c r="E65" i="5"/>
  <c r="P65" i="5" s="1"/>
  <c r="P64" i="5"/>
  <c r="T64" i="5" s="1"/>
  <c r="M64" i="5"/>
  <c r="P63" i="5"/>
  <c r="T63" i="5" s="1"/>
  <c r="M63" i="5"/>
  <c r="M62" i="5" s="1"/>
  <c r="N62" i="5"/>
  <c r="K62" i="5"/>
  <c r="I62" i="5"/>
  <c r="G62" i="5"/>
  <c r="F62" i="5"/>
  <c r="E62" i="5"/>
  <c r="P62" i="5" s="1"/>
  <c r="P61" i="5"/>
  <c r="T61" i="5" s="1"/>
  <c r="M61" i="5"/>
  <c r="P60" i="5"/>
  <c r="T60" i="5" s="1"/>
  <c r="M60" i="5"/>
  <c r="M59" i="5" s="1"/>
  <c r="N59" i="5"/>
  <c r="I59" i="5"/>
  <c r="G59" i="5"/>
  <c r="F59" i="5"/>
  <c r="E59" i="5"/>
  <c r="P59" i="5" s="1"/>
  <c r="P58" i="5"/>
  <c r="T58" i="5" s="1"/>
  <c r="M58" i="5"/>
  <c r="P57" i="5"/>
  <c r="T57" i="5" s="1"/>
  <c r="M57" i="5"/>
  <c r="M56" i="5" s="1"/>
  <c r="N56" i="5"/>
  <c r="I56" i="5"/>
  <c r="G56" i="5"/>
  <c r="F56" i="5"/>
  <c r="E56" i="5"/>
  <c r="P56" i="5" s="1"/>
  <c r="P55" i="5"/>
  <c r="T55" i="5" s="1"/>
  <c r="M55" i="5"/>
  <c r="P54" i="5"/>
  <c r="T54" i="5" s="1"/>
  <c r="M54" i="5"/>
  <c r="P53" i="5"/>
  <c r="T53" i="5" s="1"/>
  <c r="M53" i="5"/>
  <c r="N52" i="5"/>
  <c r="K52" i="5"/>
  <c r="I52" i="5"/>
  <c r="G52" i="5"/>
  <c r="F52" i="5"/>
  <c r="E52" i="5"/>
  <c r="P52" i="5" s="1"/>
  <c r="P51" i="5"/>
  <c r="T51" i="5" s="1"/>
  <c r="M51" i="5"/>
  <c r="P50" i="5"/>
  <c r="T50" i="5" s="1"/>
  <c r="M50" i="5"/>
  <c r="P49" i="5"/>
  <c r="T49" i="5" s="1"/>
  <c r="M49" i="5"/>
  <c r="P48" i="5"/>
  <c r="T48" i="5" s="1"/>
  <c r="M48" i="5"/>
  <c r="P47" i="5"/>
  <c r="T47" i="5" s="1"/>
  <c r="M47" i="5"/>
  <c r="P46" i="5"/>
  <c r="T46" i="5" s="1"/>
  <c r="M46" i="5"/>
  <c r="N45" i="5"/>
  <c r="I45" i="5"/>
  <c r="G45" i="5"/>
  <c r="F45" i="5"/>
  <c r="E45" i="5"/>
  <c r="P45" i="5" s="1"/>
  <c r="P44" i="5"/>
  <c r="T44" i="5" s="1"/>
  <c r="M44" i="5"/>
  <c r="P43" i="5"/>
  <c r="T43" i="5" s="1"/>
  <c r="M43" i="5"/>
  <c r="P42" i="5"/>
  <c r="T42" i="5" s="1"/>
  <c r="M42" i="5"/>
  <c r="N41" i="5"/>
  <c r="K41" i="5"/>
  <c r="I41" i="5"/>
  <c r="E41" i="5"/>
  <c r="P41" i="5" s="1"/>
  <c r="P40" i="5"/>
  <c r="T40" i="5" s="1"/>
  <c r="M40" i="5"/>
  <c r="P39" i="5"/>
  <c r="R39" i="5" s="1"/>
  <c r="M39" i="5"/>
  <c r="P38" i="5"/>
  <c r="T38" i="5" s="1"/>
  <c r="M38" i="5"/>
  <c r="N37" i="5"/>
  <c r="I37" i="5"/>
  <c r="E37" i="5"/>
  <c r="P37" i="5" s="1"/>
  <c r="Q37" i="5" s="1"/>
  <c r="P36" i="5"/>
  <c r="T36" i="5" s="1"/>
  <c r="M36" i="5"/>
  <c r="P35" i="5"/>
  <c r="T35" i="5" s="1"/>
  <c r="M35" i="5"/>
  <c r="M34" i="5" s="1"/>
  <c r="N34" i="5"/>
  <c r="I34" i="5"/>
  <c r="E34" i="5"/>
  <c r="P34" i="5" s="1"/>
  <c r="T34" i="5" s="1"/>
  <c r="P33" i="5"/>
  <c r="T33" i="5" s="1"/>
  <c r="M33" i="5"/>
  <c r="P32" i="5"/>
  <c r="T32" i="5" s="1"/>
  <c r="M32" i="5"/>
  <c r="M31" i="5" s="1"/>
  <c r="N31" i="5"/>
  <c r="K31" i="5"/>
  <c r="I31" i="5"/>
  <c r="E31" i="5"/>
  <c r="P31" i="5" s="1"/>
  <c r="P30" i="5"/>
  <c r="T30" i="5" s="1"/>
  <c r="M30" i="5"/>
  <c r="P29" i="5"/>
  <c r="T29" i="5" s="1"/>
  <c r="M29" i="5"/>
  <c r="P28" i="5"/>
  <c r="T28" i="5" s="1"/>
  <c r="M28" i="5"/>
  <c r="P27" i="5"/>
  <c r="T27" i="5" s="1"/>
  <c r="M27" i="5"/>
  <c r="P26" i="5"/>
  <c r="T26" i="5" s="1"/>
  <c r="M26" i="5"/>
  <c r="P25" i="5"/>
  <c r="T25" i="5" s="1"/>
  <c r="M25" i="5"/>
  <c r="P24" i="5"/>
  <c r="T24" i="5" s="1"/>
  <c r="M24" i="5"/>
  <c r="I23" i="5"/>
  <c r="E23" i="5"/>
  <c r="P23" i="5" s="1"/>
  <c r="P22" i="5"/>
  <c r="T22" i="5" s="1"/>
  <c r="M22" i="5"/>
  <c r="P21" i="5"/>
  <c r="T21" i="5" s="1"/>
  <c r="M21" i="5"/>
  <c r="P20" i="5"/>
  <c r="T20" i="5" s="1"/>
  <c r="M20" i="5"/>
  <c r="P19" i="5"/>
  <c r="T19" i="5" s="1"/>
  <c r="M19" i="5"/>
  <c r="P18" i="5"/>
  <c r="T18" i="5" s="1"/>
  <c r="M18" i="5"/>
  <c r="P17" i="5"/>
  <c r="T17" i="5" s="1"/>
  <c r="M17" i="5"/>
  <c r="P16" i="5"/>
  <c r="T16" i="5" s="1"/>
  <c r="M16" i="5"/>
  <c r="P15" i="5"/>
  <c r="T15" i="5" s="1"/>
  <c r="M15" i="5"/>
  <c r="P14" i="5"/>
  <c r="T14" i="5" s="1"/>
  <c r="M14" i="5"/>
  <c r="P13" i="5"/>
  <c r="T13" i="5" s="1"/>
  <c r="M13" i="5"/>
  <c r="K13" i="5"/>
  <c r="P12" i="5"/>
  <c r="T12" i="5" s="1"/>
  <c r="M12" i="5"/>
  <c r="P11" i="5"/>
  <c r="T11" i="5" s="1"/>
  <c r="M11" i="5"/>
  <c r="I10" i="5"/>
  <c r="E10" i="5"/>
  <c r="E160" i="4"/>
  <c r="F132" i="4"/>
  <c r="F129" i="4"/>
  <c r="F124" i="4"/>
  <c r="P123" i="4"/>
  <c r="Q123" i="4" s="1"/>
  <c r="P122" i="4"/>
  <c r="Q122" i="4" s="1"/>
  <c r="P121" i="4"/>
  <c r="Q121" i="4" s="1"/>
  <c r="P120" i="4"/>
  <c r="Q120" i="4" s="1"/>
  <c r="P119" i="4"/>
  <c r="Q119" i="4" s="1"/>
  <c r="P118" i="4"/>
  <c r="Q118" i="4" s="1"/>
  <c r="P117" i="4"/>
  <c r="Q117" i="4" s="1"/>
  <c r="F117" i="4"/>
  <c r="P116" i="4"/>
  <c r="Q116" i="4" s="1"/>
  <c r="P115" i="4"/>
  <c r="Q115" i="4" s="1"/>
  <c r="I115" i="4"/>
  <c r="P114" i="4"/>
  <c r="Q114" i="4" s="1"/>
  <c r="P113" i="4"/>
  <c r="Q113" i="4" s="1"/>
  <c r="P112" i="4"/>
  <c r="Q112" i="4" s="1"/>
  <c r="P111" i="4"/>
  <c r="Q111" i="4" s="1"/>
  <c r="P110" i="4"/>
  <c r="Q110" i="4" s="1"/>
  <c r="P109" i="4"/>
  <c r="Q109" i="4" s="1"/>
  <c r="P108" i="4"/>
  <c r="Q108" i="4" s="1"/>
  <c r="P107" i="4"/>
  <c r="Q107" i="4" s="1"/>
  <c r="P106" i="4"/>
  <c r="Q106" i="4" s="1"/>
  <c r="P105" i="4"/>
  <c r="Q105" i="4" s="1"/>
  <c r="F105" i="4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P97" i="4"/>
  <c r="Q97" i="4" s="1"/>
  <c r="P96" i="4"/>
  <c r="Q96" i="4" s="1"/>
  <c r="P95" i="4"/>
  <c r="Q95" i="4" s="1"/>
  <c r="P94" i="4"/>
  <c r="Q94" i="4" s="1"/>
  <c r="P93" i="4"/>
  <c r="Q93" i="4" s="1"/>
  <c r="P92" i="4"/>
  <c r="T92" i="4" s="1"/>
  <c r="P91" i="4"/>
  <c r="T91" i="4" s="1"/>
  <c r="P90" i="4"/>
  <c r="T90" i="4" s="1"/>
  <c r="P89" i="4"/>
  <c r="T89" i="4" s="1"/>
  <c r="P88" i="4"/>
  <c r="T88" i="4" s="1"/>
  <c r="P87" i="4"/>
  <c r="T87" i="4" s="1"/>
  <c r="P85" i="4"/>
  <c r="T85" i="4" s="1"/>
  <c r="P84" i="4"/>
  <c r="T84" i="4" s="1"/>
  <c r="P83" i="4"/>
  <c r="T83" i="4" s="1"/>
  <c r="M83" i="4"/>
  <c r="M82" i="4" s="1"/>
  <c r="K82" i="4"/>
  <c r="I82" i="4"/>
  <c r="E82" i="4"/>
  <c r="P82" i="4" s="1"/>
  <c r="P81" i="4"/>
  <c r="T81" i="4" s="1"/>
  <c r="M81" i="4"/>
  <c r="P80" i="4"/>
  <c r="T80" i="4" s="1"/>
  <c r="M80" i="4"/>
  <c r="M79" i="4" s="1"/>
  <c r="N79" i="4"/>
  <c r="N76" i="4" s="1"/>
  <c r="K79" i="4"/>
  <c r="I79" i="4"/>
  <c r="E79" i="4"/>
  <c r="P79" i="4" s="1"/>
  <c r="P78" i="4"/>
  <c r="T78" i="4" s="1"/>
  <c r="M78" i="4"/>
  <c r="P77" i="4"/>
  <c r="T77" i="4" s="1"/>
  <c r="M77" i="4"/>
  <c r="M76" i="4" s="1"/>
  <c r="K76" i="4"/>
  <c r="I76" i="4"/>
  <c r="G76" i="4"/>
  <c r="F76" i="4"/>
  <c r="E76" i="4"/>
  <c r="P76" i="4" s="1"/>
  <c r="P75" i="4"/>
  <c r="T75" i="4" s="1"/>
  <c r="M75" i="4"/>
  <c r="P74" i="4"/>
  <c r="T74" i="4" s="1"/>
  <c r="M74" i="4"/>
  <c r="M73" i="4" s="1"/>
  <c r="N73" i="4"/>
  <c r="I73" i="4"/>
  <c r="G73" i="4"/>
  <c r="F73" i="4"/>
  <c r="E73" i="4"/>
  <c r="P73" i="4" s="1"/>
  <c r="P72" i="4"/>
  <c r="T72" i="4" s="1"/>
  <c r="M72" i="4"/>
  <c r="P71" i="4"/>
  <c r="M71" i="4"/>
  <c r="P70" i="4"/>
  <c r="S70" i="4" s="1"/>
  <c r="M70" i="4"/>
  <c r="P69" i="4"/>
  <c r="T69" i="4" s="1"/>
  <c r="M69" i="4"/>
  <c r="P68" i="4"/>
  <c r="S68" i="4" s="1"/>
  <c r="M68" i="4"/>
  <c r="P67" i="4"/>
  <c r="T67" i="4" s="1"/>
  <c r="M67" i="4"/>
  <c r="P66" i="4"/>
  <c r="S66" i="4" s="1"/>
  <c r="M66" i="4"/>
  <c r="O65" i="4"/>
  <c r="N65" i="4"/>
  <c r="I65" i="4"/>
  <c r="G65" i="4"/>
  <c r="F65" i="4"/>
  <c r="E65" i="4"/>
  <c r="P65" i="4" s="1"/>
  <c r="P64" i="4"/>
  <c r="S64" i="4" s="1"/>
  <c r="M64" i="4"/>
  <c r="P63" i="4"/>
  <c r="T63" i="4" s="1"/>
  <c r="M63" i="4"/>
  <c r="M62" i="4" s="1"/>
  <c r="N62" i="4"/>
  <c r="K62" i="4"/>
  <c r="I62" i="4"/>
  <c r="G62" i="4"/>
  <c r="F62" i="4"/>
  <c r="E62" i="4"/>
  <c r="P62" i="4" s="1"/>
  <c r="P61" i="4"/>
  <c r="T61" i="4" s="1"/>
  <c r="M61" i="4"/>
  <c r="P60" i="4"/>
  <c r="T60" i="4" s="1"/>
  <c r="M60" i="4"/>
  <c r="M59" i="4" s="1"/>
  <c r="N59" i="4"/>
  <c r="I59" i="4"/>
  <c r="G59" i="4"/>
  <c r="F59" i="4"/>
  <c r="E59" i="4"/>
  <c r="P59" i="4" s="1"/>
  <c r="P58" i="4"/>
  <c r="T58" i="4" s="1"/>
  <c r="M58" i="4"/>
  <c r="P57" i="4"/>
  <c r="S57" i="4" s="1"/>
  <c r="M57" i="4"/>
  <c r="M56" i="4" s="1"/>
  <c r="N56" i="4"/>
  <c r="I56" i="4"/>
  <c r="G56" i="4"/>
  <c r="F56" i="4"/>
  <c r="E56" i="4"/>
  <c r="P56" i="4" s="1"/>
  <c r="P55" i="4"/>
  <c r="S55" i="4" s="1"/>
  <c r="M55" i="4"/>
  <c r="P54" i="4"/>
  <c r="T54" i="4" s="1"/>
  <c r="M54" i="4"/>
  <c r="P53" i="4"/>
  <c r="S53" i="4" s="1"/>
  <c r="M53" i="4"/>
  <c r="N52" i="4"/>
  <c r="K52" i="4"/>
  <c r="I52" i="4"/>
  <c r="G52" i="4"/>
  <c r="F52" i="4"/>
  <c r="E52" i="4"/>
  <c r="P52" i="4" s="1"/>
  <c r="P51" i="4"/>
  <c r="S51" i="4" s="1"/>
  <c r="M51" i="4"/>
  <c r="P50" i="4"/>
  <c r="T50" i="4" s="1"/>
  <c r="M50" i="4"/>
  <c r="P49" i="4"/>
  <c r="T49" i="4" s="1"/>
  <c r="M49" i="4"/>
  <c r="P48" i="4"/>
  <c r="S48" i="4" s="1"/>
  <c r="M48" i="4"/>
  <c r="P47" i="4"/>
  <c r="S47" i="4" s="1"/>
  <c r="M47" i="4"/>
  <c r="P46" i="4"/>
  <c r="T46" i="4" s="1"/>
  <c r="M46" i="4"/>
  <c r="N45" i="4"/>
  <c r="I45" i="4"/>
  <c r="G45" i="4"/>
  <c r="F45" i="4"/>
  <c r="E45" i="4"/>
  <c r="P45" i="4" s="1"/>
  <c r="P44" i="4"/>
  <c r="T44" i="4" s="1"/>
  <c r="M44" i="4"/>
  <c r="P43" i="4"/>
  <c r="S43" i="4" s="1"/>
  <c r="M43" i="4"/>
  <c r="P42" i="4"/>
  <c r="T42" i="4" s="1"/>
  <c r="M42" i="4"/>
  <c r="N41" i="4"/>
  <c r="K41" i="4"/>
  <c r="I41" i="4"/>
  <c r="E41" i="4"/>
  <c r="P41" i="4" s="1"/>
  <c r="P40" i="4"/>
  <c r="T40" i="4" s="1"/>
  <c r="M40" i="4"/>
  <c r="P39" i="4"/>
  <c r="S39" i="4" s="1"/>
  <c r="M39" i="4"/>
  <c r="P38" i="4"/>
  <c r="T38" i="4" s="1"/>
  <c r="M38" i="4"/>
  <c r="N37" i="4"/>
  <c r="I37" i="4"/>
  <c r="E37" i="4"/>
  <c r="P37" i="4" s="1"/>
  <c r="P36" i="4"/>
  <c r="T36" i="4" s="1"/>
  <c r="M36" i="4"/>
  <c r="P35" i="4"/>
  <c r="S35" i="4" s="1"/>
  <c r="M35" i="4"/>
  <c r="M34" i="4" s="1"/>
  <c r="N34" i="4"/>
  <c r="I34" i="4"/>
  <c r="E34" i="4"/>
  <c r="P34" i="4" s="1"/>
  <c r="S34" i="4" s="1"/>
  <c r="P33" i="4"/>
  <c r="S33" i="4" s="1"/>
  <c r="M33" i="4"/>
  <c r="P32" i="4"/>
  <c r="T32" i="4" s="1"/>
  <c r="M32" i="4"/>
  <c r="M31" i="4" s="1"/>
  <c r="N31" i="4"/>
  <c r="K31" i="4"/>
  <c r="I31" i="4"/>
  <c r="E31" i="4"/>
  <c r="P31" i="4" s="1"/>
  <c r="P30" i="4"/>
  <c r="T30" i="4" s="1"/>
  <c r="M30" i="4"/>
  <c r="P29" i="4"/>
  <c r="S29" i="4" s="1"/>
  <c r="M29" i="4"/>
  <c r="P28" i="4"/>
  <c r="T28" i="4" s="1"/>
  <c r="M28" i="4"/>
  <c r="P27" i="4"/>
  <c r="S27" i="4" s="1"/>
  <c r="M27" i="4"/>
  <c r="P26" i="4"/>
  <c r="T26" i="4" s="1"/>
  <c r="M26" i="4"/>
  <c r="P25" i="4"/>
  <c r="S25" i="4" s="1"/>
  <c r="M25" i="4"/>
  <c r="P24" i="4"/>
  <c r="S24" i="4" s="1"/>
  <c r="M24" i="4"/>
  <c r="I23" i="4"/>
  <c r="E23" i="4"/>
  <c r="P23" i="4" s="1"/>
  <c r="P22" i="4"/>
  <c r="S22" i="4" s="1"/>
  <c r="M22" i="4"/>
  <c r="P21" i="4"/>
  <c r="T21" i="4" s="1"/>
  <c r="M21" i="4"/>
  <c r="P20" i="4"/>
  <c r="S20" i="4" s="1"/>
  <c r="M20" i="4"/>
  <c r="P19" i="4"/>
  <c r="S19" i="4" s="1"/>
  <c r="M19" i="4"/>
  <c r="P18" i="4"/>
  <c r="S18" i="4" s="1"/>
  <c r="M18" i="4"/>
  <c r="P17" i="4"/>
  <c r="S17" i="4" s="1"/>
  <c r="M17" i="4"/>
  <c r="P16" i="4"/>
  <c r="T16" i="4" s="1"/>
  <c r="M16" i="4"/>
  <c r="P15" i="4"/>
  <c r="S15" i="4" s="1"/>
  <c r="M15" i="4"/>
  <c r="P14" i="4"/>
  <c r="S14" i="4" s="1"/>
  <c r="M14" i="4"/>
  <c r="P13" i="4"/>
  <c r="S13" i="4" s="1"/>
  <c r="M13" i="4"/>
  <c r="K13" i="4"/>
  <c r="P12" i="4"/>
  <c r="S12" i="4" s="1"/>
  <c r="M12" i="4"/>
  <c r="P11" i="4"/>
  <c r="T11" i="4" s="1"/>
  <c r="M11" i="4"/>
  <c r="I10" i="4"/>
  <c r="E10" i="4"/>
  <c r="Q81" i="4" l="1"/>
  <c r="M37" i="5"/>
  <c r="M41" i="4"/>
  <c r="Q77" i="4"/>
  <c r="Q69" i="5"/>
  <c r="Q77" i="5"/>
  <c r="S11" i="5"/>
  <c r="Q16" i="5"/>
  <c r="Q40" i="4"/>
  <c r="Q85" i="4"/>
  <c r="Q92" i="4"/>
  <c r="S16" i="4"/>
  <c r="S21" i="4"/>
  <c r="Q30" i="4"/>
  <c r="M45" i="4"/>
  <c r="S54" i="4"/>
  <c r="Q60" i="4"/>
  <c r="Q69" i="4"/>
  <c r="Q21" i="5"/>
  <c r="S38" i="5"/>
  <c r="Q44" i="5"/>
  <c r="S46" i="5"/>
  <c r="S49" i="5"/>
  <c r="M52" i="5"/>
  <c r="S54" i="5"/>
  <c r="Q58" i="5"/>
  <c r="S63" i="5"/>
  <c r="Q81" i="5"/>
  <c r="Q85" i="5"/>
  <c r="Q21" i="4"/>
  <c r="S28" i="4"/>
  <c r="S40" i="4"/>
  <c r="Q42" i="4"/>
  <c r="Q46" i="4"/>
  <c r="S67" i="4"/>
  <c r="Q72" i="4"/>
  <c r="S77" i="4"/>
  <c r="M23" i="5"/>
  <c r="Q26" i="5"/>
  <c r="S36" i="5"/>
  <c r="Q38" i="5"/>
  <c r="K38" i="5" s="1"/>
  <c r="K37" i="5" s="1"/>
  <c r="S42" i="5"/>
  <c r="Q49" i="5"/>
  <c r="Q50" i="5"/>
  <c r="K50" i="5" s="1"/>
  <c r="Q63" i="5"/>
  <c r="Q88" i="5"/>
  <c r="M10" i="4"/>
  <c r="S11" i="4"/>
  <c r="Q16" i="4"/>
  <c r="M23" i="4"/>
  <c r="Q26" i="4"/>
  <c r="S44" i="4"/>
  <c r="Q49" i="4"/>
  <c r="M52" i="4"/>
  <c r="Q54" i="4"/>
  <c r="Q88" i="4"/>
  <c r="M10" i="5"/>
  <c r="Q30" i="5"/>
  <c r="M45" i="5"/>
  <c r="Q90" i="5"/>
  <c r="G86" i="5"/>
  <c r="M65" i="5"/>
  <c r="Q11" i="4"/>
  <c r="S36" i="4"/>
  <c r="M37" i="4"/>
  <c r="Q44" i="4"/>
  <c r="Q50" i="4"/>
  <c r="M65" i="4"/>
  <c r="Q75" i="4"/>
  <c r="Q90" i="4"/>
  <c r="S16" i="5"/>
  <c r="S21" i="5"/>
  <c r="S28" i="5"/>
  <c r="M41" i="5"/>
  <c r="S50" i="5"/>
  <c r="Q61" i="5"/>
  <c r="S67" i="5"/>
  <c r="S77" i="5"/>
  <c r="Q92" i="5"/>
  <c r="F86" i="5"/>
  <c r="I86" i="4"/>
  <c r="E86" i="4"/>
  <c r="J46" i="4" s="1"/>
  <c r="Q28" i="4"/>
  <c r="S32" i="4"/>
  <c r="Q36" i="4"/>
  <c r="S38" i="4"/>
  <c r="G86" i="4"/>
  <c r="S58" i="4"/>
  <c r="Q67" i="4"/>
  <c r="S84" i="4"/>
  <c r="I86" i="5"/>
  <c r="Q11" i="5"/>
  <c r="K11" i="5" s="1"/>
  <c r="Q28" i="5"/>
  <c r="S32" i="5"/>
  <c r="Q36" i="5"/>
  <c r="S40" i="5"/>
  <c r="Q42" i="5"/>
  <c r="Q46" i="5"/>
  <c r="Q54" i="5"/>
  <c r="Q67" i="5"/>
  <c r="S84" i="5"/>
  <c r="S26" i="4"/>
  <c r="S30" i="4"/>
  <c r="Q32" i="4"/>
  <c r="Q38" i="4"/>
  <c r="S42" i="4"/>
  <c r="F86" i="4"/>
  <c r="S46" i="4"/>
  <c r="S49" i="4"/>
  <c r="S50" i="4"/>
  <c r="Q58" i="4"/>
  <c r="S60" i="4"/>
  <c r="S69" i="4"/>
  <c r="S72" i="4"/>
  <c r="S75" i="4"/>
  <c r="S81" i="4"/>
  <c r="Q84" i="4"/>
  <c r="S85" i="4"/>
  <c r="S88" i="4"/>
  <c r="S90" i="4"/>
  <c r="S92" i="4"/>
  <c r="E86" i="5"/>
  <c r="H39" i="5" s="1"/>
  <c r="L39" i="5" s="1"/>
  <c r="S26" i="5"/>
  <c r="S30" i="5"/>
  <c r="Q32" i="5"/>
  <c r="Q40" i="5"/>
  <c r="S44" i="5"/>
  <c r="S58" i="5"/>
  <c r="S61" i="5"/>
  <c r="S69" i="5"/>
  <c r="S81" i="5"/>
  <c r="Q84" i="5"/>
  <c r="S85" i="5"/>
  <c r="S88" i="5"/>
  <c r="S90" i="5"/>
  <c r="S92" i="5"/>
  <c r="T31" i="5"/>
  <c r="R31" i="5"/>
  <c r="S31" i="5"/>
  <c r="Q31" i="5"/>
  <c r="S23" i="5"/>
  <c r="Q23" i="5"/>
  <c r="T23" i="5"/>
  <c r="R23" i="5"/>
  <c r="R11" i="5"/>
  <c r="Q12" i="5"/>
  <c r="S12" i="5"/>
  <c r="Q13" i="5"/>
  <c r="S13" i="5"/>
  <c r="Q14" i="5"/>
  <c r="K14" i="5" s="1"/>
  <c r="S14" i="5"/>
  <c r="Q15" i="5"/>
  <c r="K15" i="5" s="1"/>
  <c r="S15" i="5"/>
  <c r="R16" i="5"/>
  <c r="Q17" i="5"/>
  <c r="S17" i="5"/>
  <c r="Q18" i="5"/>
  <c r="S18" i="5"/>
  <c r="Q19" i="5"/>
  <c r="K19" i="5" s="1"/>
  <c r="S19" i="5"/>
  <c r="Q20" i="5"/>
  <c r="K20" i="5" s="1"/>
  <c r="S20" i="5"/>
  <c r="R21" i="5"/>
  <c r="Q22" i="5"/>
  <c r="S22" i="5"/>
  <c r="Q24" i="5"/>
  <c r="S24" i="5"/>
  <c r="Q25" i="5"/>
  <c r="K25" i="5" s="1"/>
  <c r="S25" i="5"/>
  <c r="R26" i="5"/>
  <c r="Q27" i="5"/>
  <c r="S27" i="5"/>
  <c r="R28" i="5"/>
  <c r="Q29" i="5"/>
  <c r="S29" i="5"/>
  <c r="R30" i="5"/>
  <c r="R32" i="5"/>
  <c r="Q33" i="5"/>
  <c r="S33" i="5"/>
  <c r="Q34" i="5"/>
  <c r="S34" i="5"/>
  <c r="Q35" i="5"/>
  <c r="K35" i="5" s="1"/>
  <c r="S35" i="5"/>
  <c r="R36" i="5"/>
  <c r="T45" i="5"/>
  <c r="R45" i="5"/>
  <c r="S45" i="5"/>
  <c r="Q45" i="5"/>
  <c r="T56" i="5"/>
  <c r="R56" i="5"/>
  <c r="S56" i="5"/>
  <c r="Q56" i="5"/>
  <c r="T59" i="5"/>
  <c r="R59" i="5"/>
  <c r="S59" i="5"/>
  <c r="Q59" i="5"/>
  <c r="T62" i="5"/>
  <c r="R62" i="5"/>
  <c r="S62" i="5"/>
  <c r="Q62" i="5"/>
  <c r="R12" i="5"/>
  <c r="R13" i="5"/>
  <c r="R14" i="5"/>
  <c r="R15" i="5"/>
  <c r="R17" i="5"/>
  <c r="R18" i="5"/>
  <c r="R19" i="5"/>
  <c r="R20" i="5"/>
  <c r="R22" i="5"/>
  <c r="R24" i="5"/>
  <c r="R25" i="5"/>
  <c r="R27" i="5"/>
  <c r="R29" i="5"/>
  <c r="R33" i="5"/>
  <c r="R34" i="5"/>
  <c r="R35" i="5"/>
  <c r="T37" i="5"/>
  <c r="R37" i="5"/>
  <c r="S37" i="5"/>
  <c r="T39" i="5"/>
  <c r="S39" i="5"/>
  <c r="Q39" i="5"/>
  <c r="T41" i="5"/>
  <c r="R41" i="5"/>
  <c r="S41" i="5"/>
  <c r="Q41" i="5"/>
  <c r="S52" i="5"/>
  <c r="Q52" i="5"/>
  <c r="T52" i="5"/>
  <c r="R52" i="5"/>
  <c r="S65" i="5"/>
  <c r="Q65" i="5"/>
  <c r="T65" i="5"/>
  <c r="R65" i="5"/>
  <c r="R38" i="5"/>
  <c r="R40" i="5"/>
  <c r="R42" i="5"/>
  <c r="Q43" i="5"/>
  <c r="S43" i="5"/>
  <c r="R44" i="5"/>
  <c r="R46" i="5"/>
  <c r="Q47" i="5"/>
  <c r="S47" i="5"/>
  <c r="Q48" i="5"/>
  <c r="K48" i="5" s="1"/>
  <c r="S48" i="5"/>
  <c r="R49" i="5"/>
  <c r="R50" i="5"/>
  <c r="Q51" i="5"/>
  <c r="S51" i="5"/>
  <c r="Q53" i="5"/>
  <c r="S53" i="5"/>
  <c r="R54" i="5"/>
  <c r="Q55" i="5"/>
  <c r="S55" i="5"/>
  <c r="Q57" i="5"/>
  <c r="S57" i="5"/>
  <c r="R58" i="5"/>
  <c r="Q60" i="5"/>
  <c r="K60" i="5" s="1"/>
  <c r="S60" i="5"/>
  <c r="R61" i="5"/>
  <c r="R63" i="5"/>
  <c r="Q64" i="5"/>
  <c r="S64" i="5"/>
  <c r="Q66" i="5"/>
  <c r="S66" i="5"/>
  <c r="R67" i="5"/>
  <c r="Q68" i="5"/>
  <c r="S68" i="5"/>
  <c r="R69" i="5"/>
  <c r="T73" i="5"/>
  <c r="R73" i="5"/>
  <c r="S73" i="5"/>
  <c r="Q73" i="5"/>
  <c r="T76" i="5"/>
  <c r="R76" i="5"/>
  <c r="S76" i="5"/>
  <c r="Q76" i="5"/>
  <c r="S82" i="5"/>
  <c r="Q82" i="5"/>
  <c r="T82" i="5"/>
  <c r="R82" i="5"/>
  <c r="R43" i="5"/>
  <c r="R47" i="5"/>
  <c r="R48" i="5"/>
  <c r="R51" i="5"/>
  <c r="R53" i="5"/>
  <c r="R55" i="5"/>
  <c r="R57" i="5"/>
  <c r="R60" i="5"/>
  <c r="R64" i="5"/>
  <c r="R66" i="5"/>
  <c r="R68" i="5"/>
  <c r="T70" i="5"/>
  <c r="R70" i="5"/>
  <c r="S70" i="5"/>
  <c r="S79" i="5"/>
  <c r="Q79" i="5"/>
  <c r="T79" i="5"/>
  <c r="R79" i="5"/>
  <c r="Q71" i="5"/>
  <c r="K71" i="5" s="1"/>
  <c r="S71" i="5"/>
  <c r="R72" i="5"/>
  <c r="T72" i="5"/>
  <c r="Q74" i="5"/>
  <c r="K74" i="5" s="1"/>
  <c r="S74" i="5"/>
  <c r="R75" i="5"/>
  <c r="T75" i="5"/>
  <c r="R77" i="5"/>
  <c r="Q78" i="5"/>
  <c r="S78" i="5"/>
  <c r="Q80" i="5"/>
  <c r="S80" i="5"/>
  <c r="R81" i="5"/>
  <c r="Q83" i="5"/>
  <c r="S83" i="5"/>
  <c r="R84" i="5"/>
  <c r="R85" i="5"/>
  <c r="Q87" i="5"/>
  <c r="S87" i="5"/>
  <c r="R88" i="5"/>
  <c r="Q89" i="5"/>
  <c r="S89" i="5"/>
  <c r="R90" i="5"/>
  <c r="Q91" i="5"/>
  <c r="S91" i="5"/>
  <c r="R92" i="5"/>
  <c r="R71" i="5"/>
  <c r="Q72" i="5"/>
  <c r="R74" i="5"/>
  <c r="Q75" i="5"/>
  <c r="R78" i="5"/>
  <c r="R80" i="5"/>
  <c r="R83" i="5"/>
  <c r="R87" i="5"/>
  <c r="R89" i="5"/>
  <c r="R91" i="5"/>
  <c r="S31" i="4"/>
  <c r="Q31" i="4"/>
  <c r="T31" i="4"/>
  <c r="R31" i="4"/>
  <c r="T37" i="4"/>
  <c r="R37" i="4"/>
  <c r="S37" i="4"/>
  <c r="Q37" i="4"/>
  <c r="S41" i="4"/>
  <c r="Q41" i="4"/>
  <c r="T41" i="4"/>
  <c r="R41" i="4"/>
  <c r="T23" i="4"/>
  <c r="R23" i="4"/>
  <c r="S23" i="4"/>
  <c r="Q23" i="4"/>
  <c r="S45" i="4"/>
  <c r="Q45" i="4"/>
  <c r="T45" i="4"/>
  <c r="R45" i="4"/>
  <c r="R12" i="4"/>
  <c r="T12" i="4"/>
  <c r="R13" i="4"/>
  <c r="T13" i="4"/>
  <c r="R14" i="4"/>
  <c r="K14" i="4" s="1"/>
  <c r="T14" i="4"/>
  <c r="R15" i="4"/>
  <c r="K15" i="4" s="1"/>
  <c r="T15" i="4"/>
  <c r="R17" i="4"/>
  <c r="T17" i="4"/>
  <c r="R18" i="4"/>
  <c r="T18" i="4"/>
  <c r="R19" i="4"/>
  <c r="K19" i="4" s="1"/>
  <c r="T19" i="4"/>
  <c r="R20" i="4"/>
  <c r="K20" i="4" s="1"/>
  <c r="T20" i="4"/>
  <c r="R22" i="4"/>
  <c r="T22" i="4"/>
  <c r="R24" i="4"/>
  <c r="T24" i="4"/>
  <c r="R25" i="4"/>
  <c r="K25" i="4" s="1"/>
  <c r="T25" i="4"/>
  <c r="R27" i="4"/>
  <c r="T27" i="4"/>
  <c r="R29" i="4"/>
  <c r="T29" i="4"/>
  <c r="R33" i="4"/>
  <c r="T33" i="4"/>
  <c r="R34" i="4"/>
  <c r="T34" i="4"/>
  <c r="R35" i="4"/>
  <c r="K35" i="4" s="1"/>
  <c r="T35" i="4"/>
  <c r="R39" i="4"/>
  <c r="T39" i="4"/>
  <c r="R43" i="4"/>
  <c r="T43" i="4"/>
  <c r="T52" i="4"/>
  <c r="R52" i="4"/>
  <c r="S52" i="4"/>
  <c r="Q52" i="4"/>
  <c r="T65" i="4"/>
  <c r="R65" i="4"/>
  <c r="S65" i="4"/>
  <c r="Q65" i="4"/>
  <c r="R11" i="4"/>
  <c r="K11" i="4" s="1"/>
  <c r="Q12" i="4"/>
  <c r="Q13" i="4"/>
  <c r="Q14" i="4"/>
  <c r="Q15" i="4"/>
  <c r="R16" i="4"/>
  <c r="Q17" i="4"/>
  <c r="Q18" i="4"/>
  <c r="Q19" i="4"/>
  <c r="Q20" i="4"/>
  <c r="R21" i="4"/>
  <c r="Q22" i="4"/>
  <c r="Q24" i="4"/>
  <c r="Q25" i="4"/>
  <c r="R26" i="4"/>
  <c r="Q27" i="4"/>
  <c r="R28" i="4"/>
  <c r="Q29" i="4"/>
  <c r="R30" i="4"/>
  <c r="R32" i="4"/>
  <c r="Q33" i="4"/>
  <c r="Q34" i="4"/>
  <c r="Q35" i="4"/>
  <c r="R36" i="4"/>
  <c r="R38" i="4"/>
  <c r="K38" i="4" s="1"/>
  <c r="K37" i="4" s="1"/>
  <c r="Q39" i="4"/>
  <c r="R40" i="4"/>
  <c r="R42" i="4"/>
  <c r="Q43" i="4"/>
  <c r="R44" i="4"/>
  <c r="S56" i="4"/>
  <c r="Q56" i="4"/>
  <c r="T56" i="4"/>
  <c r="R56" i="4"/>
  <c r="S59" i="4"/>
  <c r="Q59" i="4"/>
  <c r="T59" i="4"/>
  <c r="R59" i="4"/>
  <c r="S62" i="4"/>
  <c r="Q62" i="4"/>
  <c r="T62" i="4"/>
  <c r="R62" i="4"/>
  <c r="R47" i="4"/>
  <c r="T47" i="4"/>
  <c r="R48" i="4"/>
  <c r="K48" i="4" s="1"/>
  <c r="T48" i="4"/>
  <c r="R51" i="4"/>
  <c r="T51" i="4"/>
  <c r="R53" i="4"/>
  <c r="T53" i="4"/>
  <c r="R55" i="4"/>
  <c r="T55" i="4"/>
  <c r="R57" i="4"/>
  <c r="T57" i="4"/>
  <c r="R60" i="4"/>
  <c r="K60" i="4" s="1"/>
  <c r="K59" i="4" s="1"/>
  <c r="Q61" i="4"/>
  <c r="S61" i="4"/>
  <c r="Q63" i="4"/>
  <c r="S63" i="4"/>
  <c r="R64" i="4"/>
  <c r="T64" i="4"/>
  <c r="R66" i="4"/>
  <c r="T66" i="4"/>
  <c r="R68" i="4"/>
  <c r="T68" i="4"/>
  <c r="R70" i="4"/>
  <c r="T70" i="4"/>
  <c r="T71" i="4"/>
  <c r="R71" i="4"/>
  <c r="K71" i="4" s="1"/>
  <c r="S71" i="4"/>
  <c r="Q71" i="4"/>
  <c r="S79" i="4"/>
  <c r="Q79" i="4"/>
  <c r="T79" i="4"/>
  <c r="R79" i="4"/>
  <c r="R46" i="4"/>
  <c r="Q47" i="4"/>
  <c r="Q48" i="4"/>
  <c r="R49" i="4"/>
  <c r="R50" i="4"/>
  <c r="K50" i="4" s="1"/>
  <c r="Q51" i="4"/>
  <c r="Q53" i="4"/>
  <c r="R54" i="4"/>
  <c r="Q55" i="4"/>
  <c r="Q57" i="4"/>
  <c r="R58" i="4"/>
  <c r="R61" i="4"/>
  <c r="R63" i="4"/>
  <c r="Q64" i="4"/>
  <c r="Q66" i="4"/>
  <c r="R67" i="4"/>
  <c r="Q68" i="4"/>
  <c r="R69" i="4"/>
  <c r="Q70" i="4"/>
  <c r="T73" i="4"/>
  <c r="R73" i="4"/>
  <c r="S73" i="4"/>
  <c r="Q73" i="4"/>
  <c r="T76" i="4"/>
  <c r="R76" i="4"/>
  <c r="S76" i="4"/>
  <c r="Q76" i="4"/>
  <c r="S82" i="4"/>
  <c r="Q82" i="4"/>
  <c r="T82" i="4"/>
  <c r="R82" i="4"/>
  <c r="R72" i="4"/>
  <c r="Q74" i="4"/>
  <c r="S74" i="4"/>
  <c r="R75" i="4"/>
  <c r="R77" i="4"/>
  <c r="Q78" i="4"/>
  <c r="S78" i="4"/>
  <c r="Q80" i="4"/>
  <c r="S80" i="4"/>
  <c r="R81" i="4"/>
  <c r="Q83" i="4"/>
  <c r="S83" i="4"/>
  <c r="R84" i="4"/>
  <c r="R85" i="4"/>
  <c r="Q87" i="4"/>
  <c r="S87" i="4"/>
  <c r="R88" i="4"/>
  <c r="Q89" i="4"/>
  <c r="S89" i="4"/>
  <c r="R90" i="4"/>
  <c r="Q91" i="4"/>
  <c r="S91" i="4"/>
  <c r="R92" i="4"/>
  <c r="R74" i="4"/>
  <c r="K74" i="4" s="1"/>
  <c r="R78" i="4"/>
  <c r="R80" i="4"/>
  <c r="R83" i="4"/>
  <c r="R87" i="4"/>
  <c r="R89" i="4"/>
  <c r="R91" i="4"/>
  <c r="E65" i="1"/>
  <c r="P65" i="1" s="1"/>
  <c r="T65" i="1" s="1"/>
  <c r="E79" i="1"/>
  <c r="P79" i="1" s="1"/>
  <c r="S79" i="1" s="1"/>
  <c r="K13" i="1"/>
  <c r="K41" i="1"/>
  <c r="K52" i="1"/>
  <c r="I10" i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R92" i="1" s="1"/>
  <c r="P91" i="1"/>
  <c r="R91" i="1" s="1"/>
  <c r="P90" i="1"/>
  <c r="T90" i="1" s="1"/>
  <c r="P89" i="1"/>
  <c r="S89" i="1" s="1"/>
  <c r="P88" i="1"/>
  <c r="R88" i="1" s="1"/>
  <c r="P87" i="1"/>
  <c r="R87" i="1" s="1"/>
  <c r="P85" i="1"/>
  <c r="T85" i="1" s="1"/>
  <c r="P84" i="1"/>
  <c r="S84" i="1" s="1"/>
  <c r="P83" i="1"/>
  <c r="R83" i="1" s="1"/>
  <c r="P81" i="1"/>
  <c r="T81" i="1" s="1"/>
  <c r="P80" i="1"/>
  <c r="S80" i="1" s="1"/>
  <c r="P78" i="1"/>
  <c r="R78" i="1" s="1"/>
  <c r="P77" i="1"/>
  <c r="R77" i="1" s="1"/>
  <c r="P75" i="1"/>
  <c r="S75" i="1" s="1"/>
  <c r="P74" i="1"/>
  <c r="R74" i="1" s="1"/>
  <c r="P72" i="1"/>
  <c r="T72" i="1" s="1"/>
  <c r="P71" i="1"/>
  <c r="S71" i="1" s="1"/>
  <c r="P70" i="1"/>
  <c r="R70" i="1" s="1"/>
  <c r="P69" i="1"/>
  <c r="R69" i="1" s="1"/>
  <c r="P68" i="1"/>
  <c r="T68" i="1" s="1"/>
  <c r="P67" i="1"/>
  <c r="S67" i="1" s="1"/>
  <c r="P66" i="1"/>
  <c r="R66" i="1" s="1"/>
  <c r="P64" i="1"/>
  <c r="R64" i="1" s="1"/>
  <c r="P63" i="1"/>
  <c r="T63" i="1" s="1"/>
  <c r="P61" i="1"/>
  <c r="R61" i="1" s="1"/>
  <c r="P60" i="1"/>
  <c r="R60" i="1" s="1"/>
  <c r="P58" i="1"/>
  <c r="S58" i="1" s="1"/>
  <c r="P57" i="1"/>
  <c r="R57" i="1" s="1"/>
  <c r="P55" i="1"/>
  <c r="T55" i="1" s="1"/>
  <c r="P54" i="1"/>
  <c r="S54" i="1" s="1"/>
  <c r="P53" i="1"/>
  <c r="R53" i="1" s="1"/>
  <c r="P51" i="1"/>
  <c r="T51" i="1" s="1"/>
  <c r="P50" i="1"/>
  <c r="S50" i="1" s="1"/>
  <c r="P49" i="1"/>
  <c r="R49" i="1" s="1"/>
  <c r="P48" i="1"/>
  <c r="S48" i="1" s="1"/>
  <c r="P47" i="1"/>
  <c r="T47" i="1" s="1"/>
  <c r="P46" i="1"/>
  <c r="S46" i="1" s="1"/>
  <c r="P44" i="1"/>
  <c r="S44" i="1" s="1"/>
  <c r="P43" i="1"/>
  <c r="T43" i="1" s="1"/>
  <c r="P42" i="1"/>
  <c r="S42" i="1" s="1"/>
  <c r="P40" i="1"/>
  <c r="S40" i="1" s="1"/>
  <c r="P39" i="1"/>
  <c r="T39" i="1" s="1"/>
  <c r="P38" i="1"/>
  <c r="S38" i="1" s="1"/>
  <c r="P36" i="1"/>
  <c r="R36" i="1" s="1"/>
  <c r="P35" i="1"/>
  <c r="T35" i="1" s="1"/>
  <c r="P33" i="1"/>
  <c r="R33" i="1" s="1"/>
  <c r="P32" i="1"/>
  <c r="R32" i="1" s="1"/>
  <c r="P30" i="1"/>
  <c r="S30" i="1" s="1"/>
  <c r="P29" i="1"/>
  <c r="R29" i="1" s="1"/>
  <c r="P28" i="1"/>
  <c r="R28" i="1" s="1"/>
  <c r="P27" i="1"/>
  <c r="T27" i="1" s="1"/>
  <c r="P26" i="1"/>
  <c r="S26" i="1" s="1"/>
  <c r="P25" i="1"/>
  <c r="R25" i="1" s="1"/>
  <c r="P24" i="1"/>
  <c r="S24" i="1" s="1"/>
  <c r="P22" i="1"/>
  <c r="S22" i="1" s="1"/>
  <c r="P21" i="1"/>
  <c r="R21" i="1" s="1"/>
  <c r="P20" i="1"/>
  <c r="R20" i="1" s="1"/>
  <c r="P19" i="1"/>
  <c r="T19" i="1" s="1"/>
  <c r="P18" i="1"/>
  <c r="S18" i="1" s="1"/>
  <c r="P17" i="1"/>
  <c r="R17" i="1" s="1"/>
  <c r="P16" i="1"/>
  <c r="S16" i="1" s="1"/>
  <c r="P15" i="1"/>
  <c r="R15" i="1" s="1"/>
  <c r="P14" i="1"/>
  <c r="T14" i="1" s="1"/>
  <c r="P13" i="1"/>
  <c r="S13" i="1" s="1"/>
  <c r="P12" i="1"/>
  <c r="R12" i="1" s="1"/>
  <c r="P11" i="1"/>
  <c r="R11" i="1" s="1"/>
  <c r="I115" i="1"/>
  <c r="I76" i="1"/>
  <c r="I52" i="1"/>
  <c r="M83" i="1"/>
  <c r="M82" i="1" s="1"/>
  <c r="M81" i="1"/>
  <c r="M80" i="1"/>
  <c r="M79" i="1" s="1"/>
  <c r="M78" i="1"/>
  <c r="M77" i="1"/>
  <c r="M76" i="1" s="1"/>
  <c r="M75" i="1"/>
  <c r="M74" i="1"/>
  <c r="M73" i="1" s="1"/>
  <c r="M72" i="1"/>
  <c r="M71" i="1"/>
  <c r="M70" i="1"/>
  <c r="M69" i="1"/>
  <c r="M68" i="1"/>
  <c r="M67" i="1"/>
  <c r="M66" i="1"/>
  <c r="M64" i="1"/>
  <c r="M63" i="1"/>
  <c r="M62" i="1" s="1"/>
  <c r="M61" i="1"/>
  <c r="M60" i="1"/>
  <c r="M59" i="1" s="1"/>
  <c r="M58" i="1"/>
  <c r="M57" i="1"/>
  <c r="M56" i="1" s="1"/>
  <c r="M55" i="1"/>
  <c r="M54" i="1"/>
  <c r="M53" i="1"/>
  <c r="M51" i="1"/>
  <c r="M50" i="1"/>
  <c r="M49" i="1"/>
  <c r="M48" i="1"/>
  <c r="M47" i="1"/>
  <c r="M46" i="1"/>
  <c r="M44" i="1"/>
  <c r="M43" i="1"/>
  <c r="M42" i="1"/>
  <c r="M40" i="1"/>
  <c r="M39" i="1"/>
  <c r="M38" i="1"/>
  <c r="M36" i="1"/>
  <c r="M35" i="1"/>
  <c r="M34" i="1" s="1"/>
  <c r="M33" i="1"/>
  <c r="M32" i="1"/>
  <c r="M31" i="1" s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H43" i="5" l="1"/>
  <c r="L43" i="5" s="1"/>
  <c r="H71" i="5"/>
  <c r="L71" i="5" s="1"/>
  <c r="J82" i="4"/>
  <c r="J51" i="4"/>
  <c r="H16" i="4"/>
  <c r="L16" i="4" s="1"/>
  <c r="H11" i="4"/>
  <c r="L11" i="4" s="1"/>
  <c r="H71" i="4"/>
  <c r="L71" i="4" s="1"/>
  <c r="Q63" i="1"/>
  <c r="H49" i="4"/>
  <c r="L49" i="4" s="1"/>
  <c r="J20" i="4"/>
  <c r="J43" i="5"/>
  <c r="H20" i="4"/>
  <c r="L20" i="4" s="1"/>
  <c r="J69" i="4"/>
  <c r="J79" i="4"/>
  <c r="J14" i="4"/>
  <c r="J73" i="5"/>
  <c r="H17" i="5"/>
  <c r="L17" i="5" s="1"/>
  <c r="J68" i="5"/>
  <c r="J41" i="5"/>
  <c r="H46" i="4"/>
  <c r="L46" i="4" s="1"/>
  <c r="H28" i="4"/>
  <c r="L28" i="4" s="1"/>
  <c r="J64" i="4"/>
  <c r="J62" i="4"/>
  <c r="P86" i="4"/>
  <c r="R86" i="4" s="1"/>
  <c r="J32" i="4"/>
  <c r="J82" i="5"/>
  <c r="J45" i="5"/>
  <c r="H54" i="5"/>
  <c r="L54" i="5" s="1"/>
  <c r="J60" i="5"/>
  <c r="J78" i="5"/>
  <c r="H13" i="5"/>
  <c r="L13" i="5" s="1"/>
  <c r="J40" i="4"/>
  <c r="J24" i="4"/>
  <c r="H47" i="4"/>
  <c r="L47" i="4" s="1"/>
  <c r="J68" i="4"/>
  <c r="J26" i="4"/>
  <c r="J20" i="5"/>
  <c r="J67" i="5"/>
  <c r="H16" i="5"/>
  <c r="L16" i="5" s="1"/>
  <c r="J12" i="4"/>
  <c r="J55" i="4"/>
  <c r="H57" i="4"/>
  <c r="H56" i="4" s="1"/>
  <c r="H77" i="4"/>
  <c r="H76" i="4" s="1"/>
  <c r="J62" i="5"/>
  <c r="J28" i="5"/>
  <c r="H48" i="5"/>
  <c r="L48" i="5" s="1"/>
  <c r="J49" i="5"/>
  <c r="P86" i="5"/>
  <c r="T86" i="5" s="1"/>
  <c r="S87" i="1"/>
  <c r="J33" i="5"/>
  <c r="H27" i="5"/>
  <c r="L27" i="5" s="1"/>
  <c r="J21" i="5"/>
  <c r="J19" i="5"/>
  <c r="J38" i="5"/>
  <c r="J61" i="5"/>
  <c r="H53" i="5"/>
  <c r="H77" i="5"/>
  <c r="L77" i="5" s="1"/>
  <c r="L76" i="5" s="1"/>
  <c r="H32" i="5"/>
  <c r="H31" i="5" s="1"/>
  <c r="H26" i="5"/>
  <c r="L26" i="5" s="1"/>
  <c r="H19" i="5"/>
  <c r="L19" i="5" s="1"/>
  <c r="R47" i="1"/>
  <c r="Q43" i="1"/>
  <c r="Q21" i="1"/>
  <c r="S77" i="1"/>
  <c r="S15" i="1"/>
  <c r="Q78" i="1"/>
  <c r="T57" i="1"/>
  <c r="M45" i="1"/>
  <c r="Q53" i="1"/>
  <c r="Q88" i="1"/>
  <c r="T92" i="1"/>
  <c r="J18" i="5"/>
  <c r="K18" i="5" s="1"/>
  <c r="H11" i="5"/>
  <c r="L11" i="5" s="1"/>
  <c r="J40" i="5"/>
  <c r="H46" i="5"/>
  <c r="L46" i="5" s="1"/>
  <c r="J50" i="5"/>
  <c r="J58" i="5"/>
  <c r="J66" i="5"/>
  <c r="J70" i="5"/>
  <c r="H47" i="5"/>
  <c r="L47" i="5" s="1"/>
  <c r="J51" i="5"/>
  <c r="J55" i="5"/>
  <c r="J64" i="5"/>
  <c r="J69" i="5"/>
  <c r="H74" i="5"/>
  <c r="H73" i="5" s="1"/>
  <c r="J81" i="5"/>
  <c r="J74" i="5"/>
  <c r="H80" i="5"/>
  <c r="L80" i="5" s="1"/>
  <c r="L79" i="5" s="1"/>
  <c r="H35" i="5"/>
  <c r="H34" i="5" s="1"/>
  <c r="J30" i="5"/>
  <c r="J27" i="5"/>
  <c r="J24" i="5"/>
  <c r="H21" i="5"/>
  <c r="L21" i="5" s="1"/>
  <c r="J17" i="5"/>
  <c r="Q47" i="1"/>
  <c r="Q81" i="1"/>
  <c r="T21" i="1"/>
  <c r="S69" i="1"/>
  <c r="S91" i="1"/>
  <c r="J38" i="4"/>
  <c r="J30" i="4"/>
  <c r="H18" i="4"/>
  <c r="J48" i="4"/>
  <c r="J57" i="4"/>
  <c r="K57" i="4" s="1"/>
  <c r="K56" i="4" s="1"/>
  <c r="H70" i="4"/>
  <c r="L70" i="4" s="1"/>
  <c r="J58" i="4"/>
  <c r="H69" i="4"/>
  <c r="L69" i="4" s="1"/>
  <c r="J80" i="4"/>
  <c r="H80" i="4"/>
  <c r="L80" i="4" s="1"/>
  <c r="L79" i="4" s="1"/>
  <c r="J22" i="4"/>
  <c r="J76" i="5"/>
  <c r="J59" i="5"/>
  <c r="H29" i="5"/>
  <c r="L29" i="5" s="1"/>
  <c r="J26" i="5"/>
  <c r="H24" i="5"/>
  <c r="L24" i="5" s="1"/>
  <c r="J16" i="5"/>
  <c r="J14" i="5"/>
  <c r="H12" i="5"/>
  <c r="L12" i="5" s="1"/>
  <c r="J39" i="5"/>
  <c r="J44" i="5"/>
  <c r="H49" i="5"/>
  <c r="L49" i="5" s="1"/>
  <c r="H57" i="5"/>
  <c r="H56" i="5" s="1"/>
  <c r="H63" i="5"/>
  <c r="H62" i="5" s="1"/>
  <c r="H69" i="5"/>
  <c r="L69" i="5" s="1"/>
  <c r="J46" i="5"/>
  <c r="H50" i="5"/>
  <c r="L50" i="5" s="1"/>
  <c r="J54" i="5"/>
  <c r="J63" i="5"/>
  <c r="H68" i="5"/>
  <c r="L68" i="5" s="1"/>
  <c r="J72" i="5"/>
  <c r="J80" i="5"/>
  <c r="J71" i="5"/>
  <c r="J79" i="5"/>
  <c r="H38" i="5"/>
  <c r="J29" i="5"/>
  <c r="H20" i="5"/>
  <c r="L20" i="5" s="1"/>
  <c r="H14" i="5"/>
  <c r="L14" i="5" s="1"/>
  <c r="J11" i="5"/>
  <c r="J86" i="4"/>
  <c r="M41" i="1"/>
  <c r="Q33" i="1"/>
  <c r="R14" i="1"/>
  <c r="T49" i="1"/>
  <c r="T78" i="1"/>
  <c r="J43" i="4"/>
  <c r="J36" i="4"/>
  <c r="H26" i="4"/>
  <c r="L26" i="4" s="1"/>
  <c r="H14" i="4"/>
  <c r="L14" i="4" s="1"/>
  <c r="J52" i="4"/>
  <c r="H66" i="4"/>
  <c r="L66" i="4" s="1"/>
  <c r="J50" i="4"/>
  <c r="H63" i="4"/>
  <c r="H62" i="4" s="1"/>
  <c r="J72" i="4"/>
  <c r="J74" i="4"/>
  <c r="J28" i="4"/>
  <c r="J19" i="4"/>
  <c r="J13" i="4"/>
  <c r="J35" i="5"/>
  <c r="J32" i="5"/>
  <c r="J25" i="5"/>
  <c r="J22" i="5"/>
  <c r="J15" i="5"/>
  <c r="J13" i="5"/>
  <c r="J86" i="5"/>
  <c r="H42" i="5"/>
  <c r="L42" i="5" s="1"/>
  <c r="J47" i="5"/>
  <c r="J53" i="5"/>
  <c r="H60" i="5"/>
  <c r="H59" i="5" s="1"/>
  <c r="H67" i="5"/>
  <c r="L67" i="5" s="1"/>
  <c r="J42" i="5"/>
  <c r="J48" i="5"/>
  <c r="J52" i="5"/>
  <c r="J57" i="5"/>
  <c r="K57" i="5" s="1"/>
  <c r="K56" i="5" s="1"/>
  <c r="H66" i="5"/>
  <c r="L66" i="5" s="1"/>
  <c r="H70" i="5"/>
  <c r="L70" i="5" s="1"/>
  <c r="J75" i="5"/>
  <c r="J83" i="5"/>
  <c r="J77" i="5"/>
  <c r="H83" i="5"/>
  <c r="H82" i="5" s="1"/>
  <c r="J36" i="5"/>
  <c r="H28" i="5"/>
  <c r="L28" i="5" s="1"/>
  <c r="H25" i="5"/>
  <c r="H18" i="5"/>
  <c r="J12" i="5"/>
  <c r="M86" i="5"/>
  <c r="M86" i="4"/>
  <c r="Q55" i="1"/>
  <c r="Q66" i="1"/>
  <c r="Q90" i="1"/>
  <c r="T25" i="1"/>
  <c r="R35" i="1"/>
  <c r="Q19" i="1"/>
  <c r="K19" i="1" s="1"/>
  <c r="Q29" i="1"/>
  <c r="T33" i="1"/>
  <c r="R55" i="1"/>
  <c r="T66" i="1"/>
  <c r="R85" i="1"/>
  <c r="J45" i="4"/>
  <c r="M37" i="1"/>
  <c r="M52" i="1"/>
  <c r="Q17" i="1"/>
  <c r="Q27" i="1"/>
  <c r="Q39" i="1"/>
  <c r="Q51" i="1"/>
  <c r="Q61" i="1"/>
  <c r="Q74" i="1"/>
  <c r="K74" i="1" s="1"/>
  <c r="K73" i="1" s="1"/>
  <c r="Q85" i="1"/>
  <c r="S11" i="1"/>
  <c r="R19" i="1"/>
  <c r="T29" i="1"/>
  <c r="R43" i="1"/>
  <c r="T53" i="1"/>
  <c r="R63" i="1"/>
  <c r="T74" i="1"/>
  <c r="T83" i="1"/>
  <c r="R90" i="1"/>
  <c r="J73" i="4"/>
  <c r="J44" i="4"/>
  <c r="H42" i="4"/>
  <c r="L42" i="4" s="1"/>
  <c r="J39" i="4"/>
  <c r="H21" i="4"/>
  <c r="L21" i="4" s="1"/>
  <c r="H19" i="4"/>
  <c r="L19" i="4" s="1"/>
  <c r="J17" i="4"/>
  <c r="H15" i="4"/>
  <c r="L15" i="4" s="1"/>
  <c r="H13" i="4"/>
  <c r="L13" i="4" s="1"/>
  <c r="J11" i="4"/>
  <c r="H50" i="4"/>
  <c r="L50" i="4" s="1"/>
  <c r="J54" i="4"/>
  <c r="J63" i="4"/>
  <c r="H68" i="4"/>
  <c r="L68" i="4" s="1"/>
  <c r="H48" i="4"/>
  <c r="L48" i="4" s="1"/>
  <c r="H54" i="4"/>
  <c r="L54" i="4" s="1"/>
  <c r="J61" i="4"/>
  <c r="H67" i="4"/>
  <c r="L67" i="4" s="1"/>
  <c r="J71" i="4"/>
  <c r="J75" i="4"/>
  <c r="J83" i="4"/>
  <c r="J78" i="4"/>
  <c r="J59" i="4"/>
  <c r="J42" i="4"/>
  <c r="H38" i="4"/>
  <c r="L38" i="4" s="1"/>
  <c r="J33" i="4"/>
  <c r="H29" i="4"/>
  <c r="L29" i="4" s="1"/>
  <c r="H27" i="4"/>
  <c r="L27" i="4" s="1"/>
  <c r="J25" i="4"/>
  <c r="J18" i="4"/>
  <c r="K18" i="4" s="1"/>
  <c r="J16" i="4"/>
  <c r="H12" i="4"/>
  <c r="L12" i="4" s="1"/>
  <c r="J41" i="4"/>
  <c r="M23" i="1"/>
  <c r="Q25" i="1"/>
  <c r="K25" i="1" s="1"/>
  <c r="K23" i="1" s="1"/>
  <c r="Q35" i="1"/>
  <c r="K35" i="1" s="1"/>
  <c r="K34" i="1" s="1"/>
  <c r="Q49" i="1"/>
  <c r="Q57" i="1"/>
  <c r="Q70" i="1"/>
  <c r="Q83" i="1"/>
  <c r="Q92" i="1"/>
  <c r="T17" i="1"/>
  <c r="R27" i="1"/>
  <c r="R39" i="1"/>
  <c r="R51" i="1"/>
  <c r="T61" i="1"/>
  <c r="T70" i="1"/>
  <c r="R81" i="1"/>
  <c r="T88" i="1"/>
  <c r="J76" i="4"/>
  <c r="H35" i="4"/>
  <c r="H34" i="4" s="1"/>
  <c r="H32" i="4"/>
  <c r="L32" i="4" s="1"/>
  <c r="L31" i="4" s="1"/>
  <c r="J29" i="4"/>
  <c r="J27" i="4"/>
  <c r="H25" i="4"/>
  <c r="L25" i="4" s="1"/>
  <c r="J49" i="4"/>
  <c r="H53" i="4"/>
  <c r="L53" i="4" s="1"/>
  <c r="J60" i="4"/>
  <c r="J67" i="4"/>
  <c r="J47" i="4"/>
  <c r="J53" i="4"/>
  <c r="H60" i="4"/>
  <c r="H59" i="4" s="1"/>
  <c r="J66" i="4"/>
  <c r="J70" i="4"/>
  <c r="H74" i="4"/>
  <c r="H73" i="4" s="1"/>
  <c r="J81" i="4"/>
  <c r="J77" i="4"/>
  <c r="H83" i="4"/>
  <c r="L83" i="4" s="1"/>
  <c r="L82" i="4" s="1"/>
  <c r="H43" i="4"/>
  <c r="L43" i="4" s="1"/>
  <c r="H39" i="4"/>
  <c r="L39" i="4" s="1"/>
  <c r="J35" i="4"/>
  <c r="H24" i="4"/>
  <c r="L24" i="4" s="1"/>
  <c r="J21" i="4"/>
  <c r="H17" i="4"/>
  <c r="L17" i="4" s="1"/>
  <c r="J15" i="4"/>
  <c r="T12" i="1"/>
  <c r="S20" i="1"/>
  <c r="S60" i="1"/>
  <c r="M65" i="1"/>
  <c r="Q13" i="1"/>
  <c r="Q18" i="1"/>
  <c r="Q22" i="1"/>
  <c r="Q26" i="1"/>
  <c r="Q30" i="1"/>
  <c r="Q38" i="1"/>
  <c r="K38" i="1" s="1"/>
  <c r="K37" i="1" s="1"/>
  <c r="Q42" i="1"/>
  <c r="Q46" i="1"/>
  <c r="Q50" i="1"/>
  <c r="K50" i="1" s="1"/>
  <c r="Q54" i="1"/>
  <c r="Q58" i="1"/>
  <c r="Q67" i="1"/>
  <c r="Q71" i="1"/>
  <c r="K71" i="1" s="1"/>
  <c r="K65" i="1" s="1"/>
  <c r="Q75" i="1"/>
  <c r="Q80" i="1"/>
  <c r="Q84" i="1"/>
  <c r="Q89" i="1"/>
  <c r="T11" i="1"/>
  <c r="R13" i="1"/>
  <c r="S14" i="1"/>
  <c r="T15" i="1"/>
  <c r="R18" i="1"/>
  <c r="S19" i="1"/>
  <c r="T20" i="1"/>
  <c r="R22" i="1"/>
  <c r="T24" i="1"/>
  <c r="R26" i="1"/>
  <c r="S27" i="1"/>
  <c r="T28" i="1"/>
  <c r="R30" i="1"/>
  <c r="T32" i="1"/>
  <c r="S35" i="1"/>
  <c r="T36" i="1"/>
  <c r="R38" i="1"/>
  <c r="S39" i="1"/>
  <c r="T40" i="1"/>
  <c r="R42" i="1"/>
  <c r="S43" i="1"/>
  <c r="T44" i="1"/>
  <c r="R46" i="1"/>
  <c r="S47" i="1"/>
  <c r="T48" i="1"/>
  <c r="R50" i="1"/>
  <c r="S51" i="1"/>
  <c r="R54" i="1"/>
  <c r="S55" i="1"/>
  <c r="R58" i="1"/>
  <c r="T60" i="1"/>
  <c r="S63" i="1"/>
  <c r="T64" i="1"/>
  <c r="R67" i="1"/>
  <c r="S68" i="1"/>
  <c r="T69" i="1"/>
  <c r="R71" i="1"/>
  <c r="S72" i="1"/>
  <c r="R75" i="1"/>
  <c r="T77" i="1"/>
  <c r="R80" i="1"/>
  <c r="S81" i="1"/>
  <c r="R84" i="1"/>
  <c r="S85" i="1"/>
  <c r="T87" i="1"/>
  <c r="R89" i="1"/>
  <c r="S90" i="1"/>
  <c r="T91" i="1"/>
  <c r="J31" i="4"/>
  <c r="S28" i="1"/>
  <c r="S32" i="1"/>
  <c r="S36" i="1"/>
  <c r="S64" i="1"/>
  <c r="M10" i="1"/>
  <c r="Q11" i="1"/>
  <c r="K11" i="1" s="1"/>
  <c r="Q15" i="1"/>
  <c r="K15" i="1" s="1"/>
  <c r="Q20" i="1"/>
  <c r="K20" i="1" s="1"/>
  <c r="Q24" i="1"/>
  <c r="Q28" i="1"/>
  <c r="Q32" i="1"/>
  <c r="Q36" i="1"/>
  <c r="Q40" i="1"/>
  <c r="Q44" i="1"/>
  <c r="Q48" i="1"/>
  <c r="K48" i="1" s="1"/>
  <c r="Q60" i="1"/>
  <c r="K60" i="1" s="1"/>
  <c r="K59" i="1" s="1"/>
  <c r="Q64" i="1"/>
  <c r="Q69" i="1"/>
  <c r="Q77" i="1"/>
  <c r="Q87" i="1"/>
  <c r="Q91" i="1"/>
  <c r="S12" i="1"/>
  <c r="T13" i="1"/>
  <c r="S17" i="1"/>
  <c r="T18" i="1"/>
  <c r="S21" i="1"/>
  <c r="T22" i="1"/>
  <c r="R24" i="1"/>
  <c r="S25" i="1"/>
  <c r="T26" i="1"/>
  <c r="S29" i="1"/>
  <c r="T30" i="1"/>
  <c r="S33" i="1"/>
  <c r="T38" i="1"/>
  <c r="R40" i="1"/>
  <c r="T42" i="1"/>
  <c r="R44" i="1"/>
  <c r="T46" i="1"/>
  <c r="R48" i="1"/>
  <c r="S49" i="1"/>
  <c r="T50" i="1"/>
  <c r="S53" i="1"/>
  <c r="T54" i="1"/>
  <c r="S57" i="1"/>
  <c r="T58" i="1"/>
  <c r="S61" i="1"/>
  <c r="S66" i="1"/>
  <c r="T67" i="1"/>
  <c r="S70" i="1"/>
  <c r="T71" i="1"/>
  <c r="S74" i="1"/>
  <c r="T75" i="1"/>
  <c r="S78" i="1"/>
  <c r="T80" i="1"/>
  <c r="S83" i="1"/>
  <c r="T84" i="1"/>
  <c r="S88" i="1"/>
  <c r="T89" i="1"/>
  <c r="S92" i="1"/>
  <c r="H15" i="5"/>
  <c r="J31" i="5"/>
  <c r="Q12" i="1"/>
  <c r="R68" i="1"/>
  <c r="R72" i="1"/>
  <c r="Q14" i="1"/>
  <c r="K14" i="1" s="1"/>
  <c r="Q68" i="1"/>
  <c r="Q72" i="1"/>
  <c r="R16" i="1"/>
  <c r="T16" i="1"/>
  <c r="Q16" i="1"/>
  <c r="K59" i="5"/>
  <c r="K45" i="5"/>
  <c r="K34" i="5"/>
  <c r="K73" i="5"/>
  <c r="K65" i="5"/>
  <c r="K23" i="5"/>
  <c r="K73" i="4"/>
  <c r="K45" i="4"/>
  <c r="K65" i="4"/>
  <c r="K34" i="4"/>
  <c r="K23" i="4"/>
  <c r="S65" i="1"/>
  <c r="Q65" i="1"/>
  <c r="R65" i="1"/>
  <c r="Q79" i="1"/>
  <c r="R79" i="1"/>
  <c r="T79" i="1"/>
  <c r="I23" i="1"/>
  <c r="I31" i="1"/>
  <c r="I34" i="1"/>
  <c r="I37" i="1"/>
  <c r="I41" i="1"/>
  <c r="I45" i="1"/>
  <c r="I56" i="1"/>
  <c r="I59" i="1"/>
  <c r="I62" i="1"/>
  <c r="I65" i="1"/>
  <c r="O65" i="1"/>
  <c r="K82" i="1"/>
  <c r="I82" i="1"/>
  <c r="N79" i="1"/>
  <c r="N76" i="1" s="1"/>
  <c r="K79" i="1"/>
  <c r="I79" i="1"/>
  <c r="K76" i="1"/>
  <c r="I73" i="1"/>
  <c r="K62" i="1"/>
  <c r="K31" i="1"/>
  <c r="F132" i="1"/>
  <c r="F129" i="1"/>
  <c r="F124" i="1"/>
  <c r="F117" i="1"/>
  <c r="F105" i="1"/>
  <c r="E160" i="1"/>
  <c r="E45" i="1"/>
  <c r="P45" i="1" s="1"/>
  <c r="E10" i="1"/>
  <c r="E23" i="1"/>
  <c r="P23" i="1" s="1"/>
  <c r="E76" i="1"/>
  <c r="P76" i="1" s="1"/>
  <c r="E41" i="1"/>
  <c r="P41" i="1" s="1"/>
  <c r="E37" i="1"/>
  <c r="P37" i="1" s="1"/>
  <c r="E82" i="1"/>
  <c r="P82" i="1" s="1"/>
  <c r="G76" i="1"/>
  <c r="E73" i="1"/>
  <c r="P73" i="1" s="1"/>
  <c r="E62" i="1"/>
  <c r="P62" i="1" s="1"/>
  <c r="E59" i="1"/>
  <c r="P59" i="1" s="1"/>
  <c r="E56" i="1"/>
  <c r="P56" i="1" s="1"/>
  <c r="E52" i="1"/>
  <c r="P52" i="1" s="1"/>
  <c r="E34" i="1"/>
  <c r="P34" i="1" s="1"/>
  <c r="E31" i="1"/>
  <c r="P31" i="1" s="1"/>
  <c r="B80" i="2"/>
  <c r="P75" i="2"/>
  <c r="M73" i="2"/>
  <c r="M72" i="2" s="1"/>
  <c r="J73" i="2"/>
  <c r="J72" i="2" s="1"/>
  <c r="F73" i="2"/>
  <c r="F72" i="2" s="1"/>
  <c r="N72" i="2"/>
  <c r="K72" i="2"/>
  <c r="I72" i="2"/>
  <c r="G72" i="2"/>
  <c r="E72" i="2"/>
  <c r="M71" i="2"/>
  <c r="K71" i="2"/>
  <c r="K65" i="2" s="1"/>
  <c r="J71" i="2"/>
  <c r="F71" i="2"/>
  <c r="M70" i="2"/>
  <c r="J70" i="2"/>
  <c r="F70" i="2"/>
  <c r="M69" i="2"/>
  <c r="J69" i="2"/>
  <c r="F69" i="2"/>
  <c r="M68" i="2"/>
  <c r="J68" i="2"/>
  <c r="F68" i="2"/>
  <c r="M67" i="2"/>
  <c r="J67" i="2"/>
  <c r="F67" i="2"/>
  <c r="M66" i="2"/>
  <c r="J66" i="2"/>
  <c r="F66" i="2"/>
  <c r="N65" i="2"/>
  <c r="I65" i="2"/>
  <c r="G65" i="2"/>
  <c r="E65" i="2"/>
  <c r="M64" i="2"/>
  <c r="M63" i="2" s="1"/>
  <c r="K64" i="2"/>
  <c r="K63" i="2" s="1"/>
  <c r="J64" i="2"/>
  <c r="J63" i="2" s="1"/>
  <c r="F64" i="2"/>
  <c r="F63" i="2" s="1"/>
  <c r="N63" i="2"/>
  <c r="I63" i="2"/>
  <c r="G63" i="2"/>
  <c r="E63" i="2"/>
  <c r="M62" i="2"/>
  <c r="M61" i="2" s="1"/>
  <c r="J62" i="2"/>
  <c r="J61" i="2" s="1"/>
  <c r="F62" i="2"/>
  <c r="F61" i="2" s="1"/>
  <c r="N61" i="2"/>
  <c r="K61" i="2"/>
  <c r="I61" i="2"/>
  <c r="G61" i="2"/>
  <c r="E61" i="2"/>
  <c r="M60" i="2"/>
  <c r="M59" i="2" s="1"/>
  <c r="J60" i="2"/>
  <c r="J59" i="2" s="1"/>
  <c r="F60" i="2"/>
  <c r="F59" i="2" s="1"/>
  <c r="N59" i="2"/>
  <c r="K59" i="2"/>
  <c r="I59" i="2"/>
  <c r="G59" i="2"/>
  <c r="E59" i="2"/>
  <c r="M58" i="2"/>
  <c r="M57" i="2" s="1"/>
  <c r="K58" i="2"/>
  <c r="K57" i="2" s="1"/>
  <c r="J58" i="2"/>
  <c r="J57" i="2" s="1"/>
  <c r="F58" i="2"/>
  <c r="F57" i="2" s="1"/>
  <c r="N57" i="2"/>
  <c r="I57" i="2"/>
  <c r="G57" i="2"/>
  <c r="E57" i="2"/>
  <c r="M56" i="2"/>
  <c r="M55" i="2" s="1"/>
  <c r="J56" i="2"/>
  <c r="J55" i="2" s="1"/>
  <c r="F56" i="2"/>
  <c r="F55" i="2" s="1"/>
  <c r="N55" i="2"/>
  <c r="K55" i="2"/>
  <c r="I55" i="2"/>
  <c r="G55" i="2"/>
  <c r="E55" i="2"/>
  <c r="M54" i="2"/>
  <c r="M53" i="2" s="1"/>
  <c r="K54" i="2"/>
  <c r="K53" i="2" s="1"/>
  <c r="J54" i="2"/>
  <c r="J53" i="2" s="1"/>
  <c r="F54" i="2"/>
  <c r="F53" i="2" s="1"/>
  <c r="N53" i="2"/>
  <c r="I53" i="2"/>
  <c r="G53" i="2"/>
  <c r="E53" i="2"/>
  <c r="M52" i="2"/>
  <c r="J52" i="2"/>
  <c r="F52" i="2"/>
  <c r="M51" i="2"/>
  <c r="J51" i="2"/>
  <c r="F51" i="2"/>
  <c r="M50" i="2"/>
  <c r="J50" i="2"/>
  <c r="F50" i="2"/>
  <c r="N49" i="2"/>
  <c r="K49" i="2"/>
  <c r="I49" i="2"/>
  <c r="G49" i="2"/>
  <c r="E49" i="2"/>
  <c r="M48" i="2"/>
  <c r="J48" i="2"/>
  <c r="F48" i="2"/>
  <c r="M47" i="2"/>
  <c r="K47" i="2"/>
  <c r="K44" i="2" s="1"/>
  <c r="J47" i="2"/>
  <c r="F47" i="2"/>
  <c r="M46" i="2"/>
  <c r="J46" i="2"/>
  <c r="F46" i="2"/>
  <c r="M45" i="2"/>
  <c r="J45" i="2"/>
  <c r="F45" i="2"/>
  <c r="N44" i="2"/>
  <c r="I44" i="2"/>
  <c r="G44" i="2"/>
  <c r="E44" i="2"/>
  <c r="M43" i="2"/>
  <c r="M42" i="2" s="1"/>
  <c r="J43" i="2"/>
  <c r="J42" i="2" s="1"/>
  <c r="F43" i="2"/>
  <c r="F42" i="2" s="1"/>
  <c r="N42" i="2"/>
  <c r="K42" i="2"/>
  <c r="I42" i="2"/>
  <c r="G42" i="2"/>
  <c r="E42" i="2"/>
  <c r="M41" i="2"/>
  <c r="K41" i="2"/>
  <c r="K39" i="2" s="1"/>
  <c r="G41" i="2"/>
  <c r="J41" i="2" s="1"/>
  <c r="M40" i="2"/>
  <c r="J40" i="2"/>
  <c r="F40" i="2"/>
  <c r="N39" i="2"/>
  <c r="I39" i="2"/>
  <c r="E39" i="2"/>
  <c r="M38" i="2"/>
  <c r="K38" i="2"/>
  <c r="J38" i="2"/>
  <c r="F38" i="2"/>
  <c r="M37" i="2"/>
  <c r="K37" i="2"/>
  <c r="J37" i="2"/>
  <c r="F37" i="2"/>
  <c r="N36" i="2"/>
  <c r="I36" i="2"/>
  <c r="G36" i="2"/>
  <c r="E36" i="2"/>
  <c r="M35" i="2"/>
  <c r="M34" i="2" s="1"/>
  <c r="J35" i="2"/>
  <c r="J34" i="2" s="1"/>
  <c r="F35" i="2"/>
  <c r="F34" i="2" s="1"/>
  <c r="N34" i="2"/>
  <c r="K34" i="2"/>
  <c r="I34" i="2"/>
  <c r="G34" i="2"/>
  <c r="E34" i="2"/>
  <c r="M33" i="2"/>
  <c r="M32" i="2" s="1"/>
  <c r="K33" i="2"/>
  <c r="K32" i="2" s="1"/>
  <c r="J33" i="2"/>
  <c r="J32" i="2" s="1"/>
  <c r="F33" i="2"/>
  <c r="F32" i="2" s="1"/>
  <c r="N32" i="2"/>
  <c r="I32" i="2"/>
  <c r="G32" i="2"/>
  <c r="E32" i="2"/>
  <c r="M31" i="2"/>
  <c r="M30" i="2" s="1"/>
  <c r="J31" i="2"/>
  <c r="J30" i="2" s="1"/>
  <c r="F31" i="2"/>
  <c r="F30" i="2" s="1"/>
  <c r="N30" i="2"/>
  <c r="K30" i="2"/>
  <c r="I30" i="2"/>
  <c r="G30" i="2"/>
  <c r="E30" i="2"/>
  <c r="M29" i="2"/>
  <c r="J29" i="2"/>
  <c r="F29" i="2"/>
  <c r="M28" i="2"/>
  <c r="J28" i="2"/>
  <c r="F28" i="2"/>
  <c r="M27" i="2"/>
  <c r="J27" i="2"/>
  <c r="F27" i="2"/>
  <c r="M26" i="2"/>
  <c r="J26" i="2"/>
  <c r="F26" i="2"/>
  <c r="M25" i="2"/>
  <c r="K25" i="2"/>
  <c r="K22" i="2" s="1"/>
  <c r="J25" i="2"/>
  <c r="F25" i="2"/>
  <c r="M24" i="2"/>
  <c r="J24" i="2"/>
  <c r="F24" i="2"/>
  <c r="M23" i="2"/>
  <c r="J23" i="2"/>
  <c r="F23" i="2"/>
  <c r="I22" i="2"/>
  <c r="G22" i="2"/>
  <c r="E22" i="2"/>
  <c r="M21" i="2"/>
  <c r="J21" i="2"/>
  <c r="F21" i="2"/>
  <c r="M20" i="2"/>
  <c r="K20" i="2"/>
  <c r="J20" i="2"/>
  <c r="F20" i="2"/>
  <c r="M19" i="2"/>
  <c r="K19" i="2"/>
  <c r="J19" i="2"/>
  <c r="F19" i="2"/>
  <c r="M18" i="2"/>
  <c r="J18" i="2"/>
  <c r="K18" i="2" s="1"/>
  <c r="F18" i="2"/>
  <c r="M17" i="2"/>
  <c r="J17" i="2"/>
  <c r="K17" i="2" s="1"/>
  <c r="F17" i="2"/>
  <c r="M16" i="2"/>
  <c r="J16" i="2"/>
  <c r="K16" i="2" s="1"/>
  <c r="F16" i="2"/>
  <c r="M15" i="2"/>
  <c r="K15" i="2"/>
  <c r="J15" i="2"/>
  <c r="F15" i="2"/>
  <c r="M14" i="2"/>
  <c r="K14" i="2"/>
  <c r="J14" i="2"/>
  <c r="F14" i="2"/>
  <c r="M13" i="2"/>
  <c r="K13" i="2"/>
  <c r="J13" i="2"/>
  <c r="F13" i="2"/>
  <c r="M12" i="2"/>
  <c r="K12" i="2"/>
  <c r="J12" i="2"/>
  <c r="F12" i="2"/>
  <c r="M11" i="2"/>
  <c r="K11" i="2"/>
  <c r="J11" i="2"/>
  <c r="F11" i="2"/>
  <c r="I10" i="2"/>
  <c r="G10" i="2"/>
  <c r="E10" i="2"/>
  <c r="F73" i="1"/>
  <c r="N73" i="1"/>
  <c r="G73" i="1"/>
  <c r="N65" i="1"/>
  <c r="G65" i="1"/>
  <c r="F62" i="1"/>
  <c r="N62" i="1"/>
  <c r="G62" i="1"/>
  <c r="N59" i="1"/>
  <c r="G59" i="1"/>
  <c r="F59" i="1"/>
  <c r="N56" i="1"/>
  <c r="G56" i="1"/>
  <c r="F56" i="1"/>
  <c r="N52" i="1"/>
  <c r="G52" i="1"/>
  <c r="N45" i="1"/>
  <c r="G45" i="1"/>
  <c r="N41" i="1"/>
  <c r="N37" i="1"/>
  <c r="N34" i="1"/>
  <c r="N31" i="1"/>
  <c r="H52" i="5" l="1"/>
  <c r="F36" i="2"/>
  <c r="J36" i="2"/>
  <c r="K36" i="2"/>
  <c r="M36" i="2"/>
  <c r="L41" i="5"/>
  <c r="H41" i="5"/>
  <c r="L60" i="4"/>
  <c r="L59" i="4" s="1"/>
  <c r="H76" i="5"/>
  <c r="L77" i="4"/>
  <c r="L76" i="4" s="1"/>
  <c r="L63" i="5"/>
  <c r="L62" i="5" s="1"/>
  <c r="R86" i="5"/>
  <c r="S86" i="4"/>
  <c r="H31" i="4"/>
  <c r="L37" i="4"/>
  <c r="S86" i="5"/>
  <c r="T86" i="4"/>
  <c r="Q86" i="5"/>
  <c r="L53" i="5"/>
  <c r="L52" i="5" s="1"/>
  <c r="Q86" i="4"/>
  <c r="H79" i="5"/>
  <c r="L41" i="4"/>
  <c r="L32" i="5"/>
  <c r="L31" i="5" s="1"/>
  <c r="H79" i="4"/>
  <c r="L57" i="5"/>
  <c r="L56" i="5" s="1"/>
  <c r="L63" i="4"/>
  <c r="L62" i="4" s="1"/>
  <c r="H82" i="4"/>
  <c r="H37" i="4"/>
  <c r="L52" i="4"/>
  <c r="M86" i="1"/>
  <c r="L18" i="4"/>
  <c r="L10" i="4" s="1"/>
  <c r="L35" i="5"/>
  <c r="L34" i="5" s="1"/>
  <c r="F22" i="2"/>
  <c r="J22" i="2"/>
  <c r="H52" i="4"/>
  <c r="L74" i="5"/>
  <c r="L73" i="5" s="1"/>
  <c r="L60" i="5"/>
  <c r="L59" i="5" s="1"/>
  <c r="H23" i="5"/>
  <c r="H65" i="5"/>
  <c r="L18" i="5"/>
  <c r="H37" i="5"/>
  <c r="L38" i="5"/>
  <c r="L37" i="5" s="1"/>
  <c r="L74" i="4"/>
  <c r="L73" i="4" s="1"/>
  <c r="H41" i="4"/>
  <c r="M39" i="2"/>
  <c r="M49" i="2"/>
  <c r="F65" i="2"/>
  <c r="H23" i="4"/>
  <c r="L57" i="4"/>
  <c r="L56" i="4" s="1"/>
  <c r="L25" i="5"/>
  <c r="L23" i="5" s="1"/>
  <c r="L83" i="5"/>
  <c r="L82" i="5" s="1"/>
  <c r="H45" i="5"/>
  <c r="H10" i="5"/>
  <c r="J44" i="2"/>
  <c r="F10" i="2"/>
  <c r="M10" i="2"/>
  <c r="G39" i="2"/>
  <c r="G74" i="2" s="1"/>
  <c r="H45" i="4"/>
  <c r="K10" i="5"/>
  <c r="K85" i="5" s="1"/>
  <c r="K86" i="5" s="1"/>
  <c r="G86" i="1"/>
  <c r="F49" i="2"/>
  <c r="J49" i="2"/>
  <c r="J65" i="2"/>
  <c r="M65" i="2"/>
  <c r="H10" i="4"/>
  <c r="H65" i="4"/>
  <c r="K10" i="4"/>
  <c r="K85" i="4" s="1"/>
  <c r="K86" i="4" s="1"/>
  <c r="J10" i="2"/>
  <c r="M22" i="2"/>
  <c r="F44" i="2"/>
  <c r="M44" i="2"/>
  <c r="L35" i="4"/>
  <c r="L34" i="4" s="1"/>
  <c r="L45" i="4"/>
  <c r="L15" i="5"/>
  <c r="S52" i="1"/>
  <c r="R52" i="1"/>
  <c r="Q52" i="1"/>
  <c r="T52" i="1"/>
  <c r="R73" i="1"/>
  <c r="Q73" i="1"/>
  <c r="S73" i="1"/>
  <c r="T73" i="1"/>
  <c r="R37" i="1"/>
  <c r="T37" i="1"/>
  <c r="Q37" i="1"/>
  <c r="S37" i="1"/>
  <c r="E86" i="1"/>
  <c r="J83" i="1" s="1"/>
  <c r="K45" i="1"/>
  <c r="R45" i="1"/>
  <c r="S45" i="1"/>
  <c r="T45" i="1"/>
  <c r="Q45" i="1"/>
  <c r="S34" i="1"/>
  <c r="T34" i="1"/>
  <c r="R34" i="1"/>
  <c r="Q34" i="1"/>
  <c r="S62" i="1"/>
  <c r="T62" i="1"/>
  <c r="R62" i="1"/>
  <c r="Q62" i="1"/>
  <c r="R82" i="1"/>
  <c r="Q82" i="1"/>
  <c r="S82" i="1"/>
  <c r="T82" i="1"/>
  <c r="T23" i="1"/>
  <c r="Q23" i="1"/>
  <c r="S23" i="1"/>
  <c r="R23" i="1"/>
  <c r="J39" i="2"/>
  <c r="E74" i="2"/>
  <c r="L23" i="4"/>
  <c r="L65" i="5"/>
  <c r="S56" i="1"/>
  <c r="R56" i="1"/>
  <c r="Q56" i="1"/>
  <c r="T56" i="1"/>
  <c r="R41" i="1"/>
  <c r="S41" i="1"/>
  <c r="T41" i="1"/>
  <c r="Q41" i="1"/>
  <c r="T31" i="1"/>
  <c r="Q31" i="1"/>
  <c r="S31" i="1"/>
  <c r="R31" i="1"/>
  <c r="T59" i="1"/>
  <c r="Q59" i="1"/>
  <c r="R59" i="1"/>
  <c r="S59" i="1"/>
  <c r="T76" i="1"/>
  <c r="Q76" i="1"/>
  <c r="S76" i="1"/>
  <c r="R76" i="1"/>
  <c r="I74" i="2"/>
  <c r="F41" i="2"/>
  <c r="F39" i="2" s="1"/>
  <c r="L65" i="4"/>
  <c r="L45" i="5"/>
  <c r="I86" i="1"/>
  <c r="F76" i="1"/>
  <c r="F65" i="1"/>
  <c r="F45" i="1"/>
  <c r="F52" i="1"/>
  <c r="K10" i="2"/>
  <c r="J11" i="1" l="1"/>
  <c r="J58" i="1"/>
  <c r="J28" i="1"/>
  <c r="J75" i="1"/>
  <c r="H39" i="1"/>
  <c r="J20" i="1"/>
  <c r="J46" i="1"/>
  <c r="J31" i="1"/>
  <c r="J66" i="1"/>
  <c r="J55" i="1"/>
  <c r="J81" i="1"/>
  <c r="H53" i="1"/>
  <c r="H28" i="1"/>
  <c r="J86" i="1"/>
  <c r="J49" i="1"/>
  <c r="H46" i="1"/>
  <c r="J30" i="1"/>
  <c r="H12" i="1"/>
  <c r="L12" i="1" s="1"/>
  <c r="J73" i="1"/>
  <c r="J39" i="1"/>
  <c r="H50" i="1"/>
  <c r="J63" i="1"/>
  <c r="H83" i="1"/>
  <c r="H82" i="1" s="1"/>
  <c r="H48" i="1"/>
  <c r="J67" i="1"/>
  <c r="J41" i="1"/>
  <c r="J17" i="1"/>
  <c r="H15" i="1"/>
  <c r="J48" i="1"/>
  <c r="J12" i="1"/>
  <c r="H14" i="1"/>
  <c r="L14" i="1" s="1"/>
  <c r="L10" i="5"/>
  <c r="L86" i="5" s="1"/>
  <c r="J82" i="1"/>
  <c r="J64" i="1"/>
  <c r="J47" i="1"/>
  <c r="J29" i="1"/>
  <c r="H11" i="1"/>
  <c r="L11" i="1" s="1"/>
  <c r="H16" i="1"/>
  <c r="J72" i="1"/>
  <c r="J54" i="1"/>
  <c r="J38" i="1"/>
  <c r="J19" i="1"/>
  <c r="H67" i="1"/>
  <c r="H25" i="1"/>
  <c r="H54" i="1"/>
  <c r="H20" i="1"/>
  <c r="J74" i="1"/>
  <c r="J57" i="1"/>
  <c r="K57" i="1" s="1"/>
  <c r="K56" i="1" s="1"/>
  <c r="J40" i="1"/>
  <c r="J21" i="1"/>
  <c r="H69" i="1"/>
  <c r="H35" i="1"/>
  <c r="H34" i="1" s="1"/>
  <c r="H80" i="1"/>
  <c r="H79" i="1" s="1"/>
  <c r="L86" i="4"/>
  <c r="H86" i="4"/>
  <c r="H86" i="5"/>
  <c r="H64" i="2"/>
  <c r="H63" i="2" s="1"/>
  <c r="H60" i="2"/>
  <c r="L60" i="2" s="1"/>
  <c r="L59" i="2" s="1"/>
  <c r="H54" i="2"/>
  <c r="H53" i="2" s="1"/>
  <c r="H20" i="2"/>
  <c r="L20" i="2" s="1"/>
  <c r="H49" i="1"/>
  <c r="H21" i="1"/>
  <c r="H70" i="1"/>
  <c r="H24" i="1"/>
  <c r="F74" i="2"/>
  <c r="M74" i="2"/>
  <c r="H45" i="2"/>
  <c r="L45" i="2" s="1"/>
  <c r="H16" i="2"/>
  <c r="L16" i="2" s="1"/>
  <c r="H46" i="2"/>
  <c r="L46" i="2" s="1"/>
  <c r="H27" i="2"/>
  <c r="L27" i="2" s="1"/>
  <c r="H12" i="2"/>
  <c r="L12" i="2" s="1"/>
  <c r="H38" i="2"/>
  <c r="L38" i="2" s="1"/>
  <c r="J77" i="1"/>
  <c r="J69" i="1"/>
  <c r="J60" i="1"/>
  <c r="J51" i="1"/>
  <c r="J43" i="1"/>
  <c r="J33" i="1"/>
  <c r="J25" i="1"/>
  <c r="J13" i="1"/>
  <c r="H66" i="1"/>
  <c r="H26" i="1"/>
  <c r="J18" i="1"/>
  <c r="K18" i="1" s="1"/>
  <c r="K10" i="1" s="1"/>
  <c r="J76" i="1"/>
  <c r="J68" i="1"/>
  <c r="J59" i="1"/>
  <c r="J50" i="1"/>
  <c r="J42" i="1"/>
  <c r="J32" i="1"/>
  <c r="J24" i="1"/>
  <c r="J14" i="1"/>
  <c r="H71" i="1"/>
  <c r="H57" i="1"/>
  <c r="H56" i="1" s="1"/>
  <c r="H43" i="1"/>
  <c r="H27" i="1"/>
  <c r="H17" i="1"/>
  <c r="J79" i="1"/>
  <c r="H60" i="1"/>
  <c r="H59" i="1" s="1"/>
  <c r="H38" i="1"/>
  <c r="H13" i="1"/>
  <c r="L13" i="1" s="1"/>
  <c r="H69" i="2"/>
  <c r="L69" i="2" s="1"/>
  <c r="H26" i="2"/>
  <c r="L26" i="2" s="1"/>
  <c r="H70" i="2"/>
  <c r="L70" i="2" s="1"/>
  <c r="J80" i="1"/>
  <c r="J71" i="1"/>
  <c r="J62" i="1"/>
  <c r="J53" i="1"/>
  <c r="J45" i="1"/>
  <c r="J36" i="1"/>
  <c r="J27" i="1"/>
  <c r="J15" i="1"/>
  <c r="H74" i="1"/>
  <c r="H73" i="1" s="1"/>
  <c r="H32" i="1"/>
  <c r="H31" i="1" s="1"/>
  <c r="P86" i="1"/>
  <c r="R86" i="1" s="1"/>
  <c r="J78" i="1"/>
  <c r="J70" i="1"/>
  <c r="J61" i="1"/>
  <c r="J52" i="1"/>
  <c r="J44" i="1"/>
  <c r="J35" i="1"/>
  <c r="J26" i="1"/>
  <c r="J16" i="1"/>
  <c r="H77" i="1"/>
  <c r="H76" i="1" s="1"/>
  <c r="H63" i="1"/>
  <c r="H62" i="1" s="1"/>
  <c r="H47" i="1"/>
  <c r="H29" i="1"/>
  <c r="H19" i="1"/>
  <c r="J22" i="1"/>
  <c r="H68" i="1"/>
  <c r="H42" i="1"/>
  <c r="H18" i="1"/>
  <c r="H24" i="2"/>
  <c r="L24" i="2" s="1"/>
  <c r="H11" i="2"/>
  <c r="H43" i="2"/>
  <c r="H42" i="2" s="1"/>
  <c r="F86" i="1"/>
  <c r="J74" i="2"/>
  <c r="H35" i="2"/>
  <c r="H34" i="2" s="1"/>
  <c r="H67" i="2"/>
  <c r="L67" i="2" s="1"/>
  <c r="H15" i="2"/>
  <c r="L15" i="2" s="1"/>
  <c r="H25" i="2"/>
  <c r="L25" i="2" s="1"/>
  <c r="H58" i="2"/>
  <c r="H57" i="2" s="1"/>
  <c r="H33" i="2"/>
  <c r="H48" i="2"/>
  <c r="L48" i="2" s="1"/>
  <c r="H62" i="2"/>
  <c r="L62" i="2" s="1"/>
  <c r="L61" i="2" s="1"/>
  <c r="H73" i="2"/>
  <c r="L73" i="2" s="1"/>
  <c r="L72" i="2" s="1"/>
  <c r="H14" i="2"/>
  <c r="L14" i="2" s="1"/>
  <c r="H18" i="2"/>
  <c r="L18" i="2" s="1"/>
  <c r="H23" i="2"/>
  <c r="L23" i="2" s="1"/>
  <c r="H31" i="2"/>
  <c r="H30" i="2" s="1"/>
  <c r="H41" i="2"/>
  <c r="L41" i="2" s="1"/>
  <c r="H52" i="2"/>
  <c r="L52" i="2" s="1"/>
  <c r="H66" i="2"/>
  <c r="L66" i="2" s="1"/>
  <c r="H51" i="2"/>
  <c r="L51" i="2" s="1"/>
  <c r="H19" i="2"/>
  <c r="L19" i="2" s="1"/>
  <c r="H37" i="2"/>
  <c r="H68" i="2"/>
  <c r="L68" i="2" s="1"/>
  <c r="H29" i="2"/>
  <c r="L29" i="2" s="1"/>
  <c r="H47" i="2"/>
  <c r="L47" i="2" s="1"/>
  <c r="H56" i="2"/>
  <c r="H55" i="2" s="1"/>
  <c r="H71" i="2"/>
  <c r="L71" i="2" s="1"/>
  <c r="H13" i="2"/>
  <c r="L13" i="2" s="1"/>
  <c r="H17" i="2"/>
  <c r="L17" i="2" s="1"/>
  <c r="H21" i="2"/>
  <c r="L21" i="2" s="1"/>
  <c r="H28" i="2"/>
  <c r="L28" i="2" s="1"/>
  <c r="H40" i="2"/>
  <c r="L40" i="2" s="1"/>
  <c r="H50" i="2"/>
  <c r="H41" i="1" l="1"/>
  <c r="H61" i="2"/>
  <c r="H37" i="1"/>
  <c r="Q86" i="1"/>
  <c r="H59" i="2"/>
  <c r="H52" i="1"/>
  <c r="H36" i="2"/>
  <c r="L83" i="1"/>
  <c r="L82" i="1" s="1"/>
  <c r="L54" i="2"/>
  <c r="L53" i="2" s="1"/>
  <c r="L35" i="2"/>
  <c r="L34" i="2" s="1"/>
  <c r="H45" i="1"/>
  <c r="K85" i="1"/>
  <c r="K86" i="1" s="1"/>
  <c r="H65" i="1"/>
  <c r="L43" i="2"/>
  <c r="L42" i="2" s="1"/>
  <c r="H72" i="2"/>
  <c r="H23" i="1"/>
  <c r="L64" i="2"/>
  <c r="L63" i="2" s="1"/>
  <c r="L58" i="2"/>
  <c r="L57" i="2" s="1"/>
  <c r="H44" i="2"/>
  <c r="H10" i="1"/>
  <c r="L22" i="2"/>
  <c r="S86" i="1"/>
  <c r="H49" i="2"/>
  <c r="L65" i="2"/>
  <c r="L31" i="2"/>
  <c r="L30" i="2" s="1"/>
  <c r="T86" i="1"/>
  <c r="L37" i="2"/>
  <c r="L36" i="2" s="1"/>
  <c r="H65" i="2"/>
  <c r="H10" i="2"/>
  <c r="L11" i="2"/>
  <c r="L10" i="2" s="1"/>
  <c r="L50" i="2"/>
  <c r="L49" i="2" s="1"/>
  <c r="L39" i="2"/>
  <c r="H22" i="2"/>
  <c r="H32" i="2"/>
  <c r="L33" i="2"/>
  <c r="L32" i="2" s="1"/>
  <c r="L56" i="2"/>
  <c r="L55" i="2" s="1"/>
  <c r="H39" i="2"/>
  <c r="L44" i="2"/>
  <c r="L48" i="1"/>
  <c r="L80" i="1"/>
  <c r="L79" i="1" s="1"/>
  <c r="L70" i="1"/>
  <c r="L68" i="1"/>
  <c r="L54" i="1"/>
  <c r="L50" i="1"/>
  <c r="L46" i="1"/>
  <c r="L28" i="1"/>
  <c r="L26" i="1"/>
  <c r="L20" i="1"/>
  <c r="L18" i="1"/>
  <c r="L16" i="1"/>
  <c r="L71" i="1"/>
  <c r="L69" i="1"/>
  <c r="L67" i="1"/>
  <c r="L49" i="1"/>
  <c r="L43" i="1"/>
  <c r="L39" i="1"/>
  <c r="L29" i="1"/>
  <c r="L27" i="1"/>
  <c r="L25" i="1"/>
  <c r="L21" i="1"/>
  <c r="L19" i="1"/>
  <c r="L17" i="1"/>
  <c r="L15" i="1"/>
  <c r="L24" i="1"/>
  <c r="L35" i="1"/>
  <c r="L34" i="1" s="1"/>
  <c r="L77" i="1"/>
  <c r="L76" i="1" s="1"/>
  <c r="L60" i="1"/>
  <c r="L59" i="1" s="1"/>
  <c r="L57" i="1"/>
  <c r="L56" i="1" s="1"/>
  <c r="L32" i="1"/>
  <c r="L31" i="1" s="1"/>
  <c r="L53" i="1"/>
  <c r="L42" i="1"/>
  <c r="L63" i="1"/>
  <c r="L62" i="1" s="1"/>
  <c r="L74" i="1"/>
  <c r="L73" i="1" s="1"/>
  <c r="L66" i="1"/>
  <c r="L47" i="1"/>
  <c r="L38" i="1"/>
  <c r="L37" i="1" l="1"/>
  <c r="L74" i="2"/>
  <c r="H86" i="1"/>
  <c r="H74" i="2"/>
  <c r="L23" i="1"/>
  <c r="L10" i="1"/>
  <c r="L65" i="1"/>
  <c r="L52" i="1"/>
  <c r="L45" i="1"/>
  <c r="L41" i="1"/>
  <c r="L86" i="1" l="1"/>
  <c r="G27" i="57"/>
  <c r="K27" i="57" s="1"/>
  <c r="G46" i="57" l="1"/>
  <c r="K46" i="57" s="1"/>
  <c r="G59" i="57"/>
  <c r="K59" i="57" s="1"/>
  <c r="G38" i="57"/>
  <c r="K38" i="57" s="1"/>
  <c r="G35" i="57"/>
  <c r="K35" i="57" s="1"/>
  <c r="G45" i="57"/>
  <c r="K45" i="57" s="1"/>
  <c r="G54" i="57"/>
  <c r="K54" i="57" s="1"/>
  <c r="G24" i="57"/>
  <c r="K24" i="57" s="1"/>
  <c r="G30" i="57"/>
  <c r="K30" i="57" s="1"/>
  <c r="G58" i="57"/>
  <c r="K58" i="57" s="1"/>
  <c r="G65" i="57"/>
  <c r="K65" i="57" s="1"/>
  <c r="G68" i="57"/>
  <c r="K68" i="57" s="1"/>
  <c r="G23" i="57"/>
  <c r="K23" i="57" s="1"/>
  <c r="G13" i="57"/>
  <c r="K13" i="57" s="1"/>
  <c r="G66" i="57"/>
  <c r="K66" i="57" s="1"/>
  <c r="G17" i="57"/>
  <c r="K17" i="57" s="1"/>
  <c r="G51" i="57"/>
  <c r="K51" i="57" s="1"/>
  <c r="G50" i="57"/>
  <c r="K50" i="57" s="1"/>
  <c r="G64" i="57"/>
  <c r="K64" i="57" s="1"/>
  <c r="G18" i="57"/>
  <c r="K18" i="57" s="1"/>
  <c r="G12" i="57"/>
  <c r="G34" i="57"/>
  <c r="K34" i="57" s="1"/>
  <c r="G67" i="57"/>
  <c r="G31" i="57"/>
  <c r="K31" i="57" s="1"/>
  <c r="G22" i="57"/>
  <c r="K22" i="57" s="1"/>
  <c r="G41" i="57"/>
  <c r="K41" i="57" s="1"/>
  <c r="G60" i="57"/>
  <c r="K60" i="57" s="1"/>
  <c r="G16" i="57"/>
  <c r="K16" i="57" s="1"/>
  <c r="G21" i="57"/>
  <c r="K21" i="57" s="1"/>
  <c r="G69" i="57" l="1"/>
  <c r="K69" i="57" s="1"/>
  <c r="K12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NOMOR BELAKANGNYA DI URUT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<sst xmlns="http://schemas.openxmlformats.org/spreadsheetml/2006/main" count="1369" uniqueCount="344">
  <si>
    <t>SATUAN KERJA PERANGKAT DAERAH</t>
  </si>
  <si>
    <t>:</t>
  </si>
  <si>
    <t>: KANTOR CAMAT TANAH GROGOT</t>
  </si>
  <si>
    <t>BULAN</t>
  </si>
  <si>
    <t>KODE REKENING</t>
  </si>
  <si>
    <t>URAIAN KEGIATAN</t>
  </si>
  <si>
    <t>BELANJA LANGSUNG (BL)            (Rp)</t>
  </si>
  <si>
    <t>ANGGARAN BELANJA TAMBAHAN (ABT) (Rp)</t>
  </si>
  <si>
    <t>JUMLAH ANGGARAN SELETAH PERUBAHAN (Rp)</t>
  </si>
  <si>
    <t>BOBOT          %</t>
  </si>
  <si>
    <t xml:space="preserve">REALISASI </t>
  </si>
  <si>
    <t>SISA DANA                                (Rp)</t>
  </si>
  <si>
    <t>KET.</t>
  </si>
  <si>
    <t xml:space="preserve">KEUANGAN </t>
  </si>
  <si>
    <t>FISIK</t>
  </si>
  <si>
    <t>(Rp)</t>
  </si>
  <si>
    <t>(%)</t>
  </si>
  <si>
    <t xml:space="preserve">TERTIMBANG </t>
  </si>
  <si>
    <t>KANTOR CAMAT TANAH GROGOT</t>
  </si>
  <si>
    <t>4.01.  4.01.09.01. 01</t>
  </si>
  <si>
    <t>PROGRAM PELAYANAN ADMINISTRASI PERKANTORAN</t>
  </si>
  <si>
    <t>4.01.  4.01.09.01. 01.02</t>
  </si>
  <si>
    <t>Penyediaan Jasa Komunikasi, Sumber Daya Air Dan Listrik</t>
  </si>
  <si>
    <t>4.01.  4.01.09.01. 01.06</t>
  </si>
  <si>
    <t>Penyediaan Jasa Pemeliharaan dan Perizinan Kendaraan Dinas/operasional</t>
  </si>
  <si>
    <t>4.01.  4.01.09.01. 01.13</t>
  </si>
  <si>
    <t>Penyediaan Peralatan dan Perlengkapan Kantor</t>
  </si>
  <si>
    <t>4.01.  4.01.09.01. 01.14</t>
  </si>
  <si>
    <t>Penyediaan Peralatan Rumah Tangga</t>
  </si>
  <si>
    <t>4.01.  4.01.09.01. 01.15</t>
  </si>
  <si>
    <t>Penyediaan Bahan Bacaan Dan Peraturan Perundang-undangan</t>
  </si>
  <si>
    <t>4.01.  4.01.09.01. 01.17</t>
  </si>
  <si>
    <t>Penyediaan Makanan  dan Minuman</t>
  </si>
  <si>
    <t>4.01.  4.01.09.01. 01.18</t>
  </si>
  <si>
    <t>Rapat-rapat  Koordinasi dan Konsultasi</t>
  </si>
  <si>
    <t>4.01.  4.01.09.01. 01.07</t>
  </si>
  <si>
    <t>Penyediaan Jasa Administrasi Keuangan</t>
  </si>
  <si>
    <t>4.01.  4.01.09.01. 01.10</t>
  </si>
  <si>
    <t>Penyediaan Alat Tulis Kantor</t>
  </si>
  <si>
    <t>4.01.  4.01.09.01. 01.11</t>
  </si>
  <si>
    <t>Penyediaan Barang Cetakan Dan Penggandaan</t>
  </si>
  <si>
    <t>4.01.  4.01.09.01. 01.12</t>
  </si>
  <si>
    <t>Penyediaan Komponen Instalasi Listrik/Penerangan Bangunan Kantor</t>
  </si>
  <si>
    <t>4.01.  4.01.09.01. 02</t>
  </si>
  <si>
    <t>PROGRAM PENINGKATAN SARANA DAN PRASARANA APARATUR</t>
  </si>
  <si>
    <t>4.01.  4.01.09.01. 02.03</t>
  </si>
  <si>
    <t>Pembangunan Gedung Kantor</t>
  </si>
  <si>
    <t>4.01.  4.01.09.01. 02.07</t>
  </si>
  <si>
    <t>Pengadaan Perlengkapan Gedung Kantor</t>
  </si>
  <si>
    <t>4.01.  4.01.09.01. 02.19</t>
  </si>
  <si>
    <t>Pemeliharaan  Rutin/Berkala Asrama Pelajar</t>
  </si>
  <si>
    <t>4.01.  4.01.09.01. 02.22</t>
  </si>
  <si>
    <t xml:space="preserve">Pemeliharaan Rutin/Berkala Gedung Kantor </t>
  </si>
  <si>
    <t>4.01.  4.01.09.01. 02.24</t>
  </si>
  <si>
    <t>Pemeliharaan Rutin/Berkala Kendaraan Dinas/Operasional</t>
  </si>
  <si>
    <t>4.01.  4.01.09.01. 02.26</t>
  </si>
  <si>
    <t>Pemeliharaan Rutin/Berkala Perlengkapan Gedung Kantor</t>
  </si>
  <si>
    <t>4.01.  4.01.09.01. 02.28</t>
  </si>
  <si>
    <t>Pemeliharaan Rutin/Berkala Peralatan Gedung Kantor</t>
  </si>
  <si>
    <t>4.01.  4.01.09.01. 06</t>
  </si>
  <si>
    <t>PROGRAM PENINGKATAN PENGEMBANGAN SISTEM PELAPORAN CAPAIAN KINERJA DAN KEUANGAN</t>
  </si>
  <si>
    <t>4.01.  4.01.09.01. 06.05</t>
  </si>
  <si>
    <t xml:space="preserve">Penyusunan Laporan Akuntabilitas Kinerja Instansi Pemerintah              ( LAKIP ) </t>
  </si>
  <si>
    <t>2.06.  4.01.09.01. 15</t>
  </si>
  <si>
    <t>PROGRAM PENATAAN ADMINISTRASI KEPENDUDUKAN</t>
  </si>
  <si>
    <t>2.06.  4.01.09.01. 15.07</t>
  </si>
  <si>
    <t xml:space="preserve">Peningkatan Pelayanan Publik Dalam Bidang Kependudukan </t>
  </si>
  <si>
    <t>1. 01 . 4.01.09.01.15</t>
  </si>
  <si>
    <t>PROGRAM PENDIDIKAN ANAK USIA DINI</t>
  </si>
  <si>
    <t>Pembangunan Gedung Sekolah</t>
  </si>
  <si>
    <t>PROGRAM PENINGKATAN KEAMANAN DAN KENYAMANAN LINGKUNGAN</t>
  </si>
  <si>
    <t>1. 01 . 4.01.09.01.15.01</t>
  </si>
  <si>
    <t xml:space="preserve">Penyiapan Tenaga Pengendali Keamanan Dan Kenyamanan Lingkungan </t>
  </si>
  <si>
    <t>1. 01 . 4.01.09.01.15.09</t>
  </si>
  <si>
    <t>Fasilitasi FKPMKT/FKDM(Forum Kewaspadaan Dini Persaudaraan Masyarakat Kalimantan Timur/Forum Kewaspadaan Dini Masyarakat)</t>
  </si>
  <si>
    <t>2.07 . 4.01.09.01.15</t>
  </si>
  <si>
    <t>PROGRAM PENINGKATAN KEBERDAYAAN MASYARAKAT PERDESAAN</t>
  </si>
  <si>
    <t>2.07 . 4.01.09.01.15.05</t>
  </si>
  <si>
    <t>Penyelenggaraan Musrenbang  Tingkat Kecamatan</t>
  </si>
  <si>
    <t>2.07 . 4.01.09.01.15.07</t>
  </si>
  <si>
    <t>Pelaksanaan 10 Program Pokok PKK</t>
  </si>
  <si>
    <t>1.01 . 4.01.09.01.16</t>
  </si>
  <si>
    <t>PROGRAM WAJIB BELAJAR PENDIDIKAN DASAR SEMBILAN TAHUN</t>
  </si>
  <si>
    <t>1.01 . 4.01.09.01.16.19</t>
  </si>
  <si>
    <t>Pengadaan Mebuler Sekolah</t>
  </si>
  <si>
    <t>4.01.  4.01.09.01. 47</t>
  </si>
  <si>
    <t>PROGRAM PEMBINAAN DAN PENGAWASAN PENYELENGGARAAN PEMERINTAH</t>
  </si>
  <si>
    <t>4.01.  4.01.09.01. 47.01</t>
  </si>
  <si>
    <t>Koordinasi dan Monitoring Evaluasi ADD</t>
  </si>
  <si>
    <t>4.01.  4.01.09.01. 47.02</t>
  </si>
  <si>
    <t>Koordinasi dan Penyelenggaraan Lomba Desa</t>
  </si>
  <si>
    <t>4.01.  4.01.09.01. 47.03</t>
  </si>
  <si>
    <t>Koordinasi dan Verifikasi Pengelolaan Keuangan Desa</t>
  </si>
  <si>
    <t>4.01.  4.01.09.01. 47.04</t>
  </si>
  <si>
    <t>Koordinasi Penyelenggaraan Teknologi Tepat Guna Tingkat ( TTG )     Tingkat Kabupaten</t>
  </si>
  <si>
    <t>4.03.  4.01.09.01. 21</t>
  </si>
  <si>
    <t>PROGRAM PERENCANAAN PEMBANGUNAN DAERAH</t>
  </si>
  <si>
    <t>4.03.  4.01.09.01. 21.17</t>
  </si>
  <si>
    <t>Penyusunan RENJA SKPD</t>
  </si>
  <si>
    <t>4.03.  4.01.09.01. 21.22</t>
  </si>
  <si>
    <t>Evaluasi RENJA SKPD</t>
  </si>
  <si>
    <t>4.03.  4.01.09.01. 21.44</t>
  </si>
  <si>
    <t>Review dan Revisi RENSTRA SKPD</t>
  </si>
  <si>
    <t>1.02 . 4.01.09.01.39</t>
  </si>
  <si>
    <t>PROGRAM UPAYA KESEHATAN SEKOLAH</t>
  </si>
  <si>
    <t>1.02 . 4.01.09.01.39.01</t>
  </si>
  <si>
    <t>Pembinaan UKS</t>
  </si>
  <si>
    <t>1.02 . 4.01.09.01.25</t>
  </si>
  <si>
    <t>PROGRAM PENGADAAN, PENINGKATAN DAN PERBAIKAN SARANA DAN PRASARANA PUSKESMAS/PUSKESMAS PEMBANTU DAN JARINGANNYA</t>
  </si>
  <si>
    <t>1.02 . 4.01.09.01.25.01</t>
  </si>
  <si>
    <t xml:space="preserve">Pembangunan Puskesmas </t>
  </si>
  <si>
    <t>1.03. 4.01.09.01.15</t>
  </si>
  <si>
    <t xml:space="preserve">PROGRAM PEMBANGUNAN JALAN DAN JEMBATAN </t>
  </si>
  <si>
    <t>1.03. 4.01.09.01.15.01</t>
  </si>
  <si>
    <t>Perencanaan Pembangunan Jalan</t>
  </si>
  <si>
    <t>4.01. 4.01.09.01.50</t>
  </si>
  <si>
    <t>PROGRAM KOORDINASI PENYELENGGARAAN PEMERINTAHAN PERANGKAT DAERAH LAINNYA</t>
  </si>
  <si>
    <t>4.01. 4.01.09.01.50.02</t>
  </si>
  <si>
    <t>Koordinasi dan Fasilitasi Penyaluran Beras Sejahtera (Rastra )</t>
  </si>
  <si>
    <t>3.01. 4.01.09.01.21</t>
  </si>
  <si>
    <t>PROGRAM PENGEMBANGAN PERIKANAN TANGKAP</t>
  </si>
  <si>
    <t>3.01. 4.01.09.01.21.01</t>
  </si>
  <si>
    <t>Pendampingan Pada Kelompok Nelayan Perikanan Tangkap</t>
  </si>
  <si>
    <t>4.01. 4.01.09.01.43</t>
  </si>
  <si>
    <t>PROGRAM PENYELENGGARAAN SISTEM PENGENDALIAN INTERNAL PEMERINTAH (SPIP)</t>
  </si>
  <si>
    <t>4.01. 4.01.09.01.43.02</t>
  </si>
  <si>
    <t>Penyelenggaraan Sistem Pengendalian Internal Pemerintah ( SPIP )</t>
  </si>
  <si>
    <t>4.01. 4.01.09.01.46</t>
  </si>
  <si>
    <t>PROGRAM KOORDINASI PENYELENGGARAAN PEMERINTAH UMUM</t>
  </si>
  <si>
    <t>4.01. 4.01.09.01.46.01</t>
  </si>
  <si>
    <t>Koordinasi Dan Fasilitasi LPTQ</t>
  </si>
  <si>
    <t>4.01. 4.01.09.01.46.02</t>
  </si>
  <si>
    <t>Koordinasi Kerukunan Umat Beragama</t>
  </si>
  <si>
    <t>4.01. 4.01.09.01.46.03</t>
  </si>
  <si>
    <t>Koordinasi Dan Fasilitasi Paskibraka</t>
  </si>
  <si>
    <t>4.01. 4.01.09.01.46.05</t>
  </si>
  <si>
    <t>Koordinasi Desiminasi Informasi Perdesaan</t>
  </si>
  <si>
    <t>4.01. 4.01.09.01.46.06</t>
  </si>
  <si>
    <t>Koordinasi Pembakuan Rupa-Rupa Bumi</t>
  </si>
  <si>
    <t>4.01. 4.01.09.01.46.07</t>
  </si>
  <si>
    <t>Koordinasi Dan Fasilitasi Penetapan Tapal Batas</t>
  </si>
  <si>
    <t>4.01. 4.01.09.01.48</t>
  </si>
  <si>
    <t>PROGRAM KOORDINASI PENERAPAN DAN PENEGAKAN PERDA DAN PERKADA</t>
  </si>
  <si>
    <t>4.01. 4.01.09.01.48.02</t>
  </si>
  <si>
    <t>Pengawasan Dan Penegakan Peraturan Daerah</t>
  </si>
  <si>
    <t>JUMLAH</t>
  </si>
  <si>
    <t>Tana Paser,  04 Desember 2017</t>
  </si>
  <si>
    <t>Sekretaris Camat</t>
  </si>
  <si>
    <t>REALISASI KEGIATAN PEMBANGUNAN</t>
  </si>
  <si>
    <t>total paket</t>
  </si>
  <si>
    <t>83 paket</t>
  </si>
  <si>
    <t>Susi Purwanti</t>
  </si>
  <si>
    <t>NIP.  19610506 198903 2 003</t>
  </si>
  <si>
    <t>pemerinth</t>
  </si>
  <si>
    <t>]</t>
  </si>
  <si>
    <t>KABUPATEN PASER TAHUN 2018</t>
  </si>
  <si>
    <t>: FEBRUARI 2018</t>
  </si>
  <si>
    <t>Penyediaan Jasa Kebersihan Kantor</t>
  </si>
  <si>
    <t>BELANJA LANGSUNG (BL)/Rp</t>
  </si>
  <si>
    <t>4.01.  4.01.09.01. 02.10</t>
  </si>
  <si>
    <t>Pengadaan Meubelair</t>
  </si>
  <si>
    <t>Koordinasi dan Fasilitasi Penyusunan Profil Kecamatan dan Kelurahan</t>
  </si>
  <si>
    <t>4.01.  4.01.09.01. 47.05</t>
  </si>
  <si>
    <t>4.01. 4.01.09.01.46.09</t>
  </si>
  <si>
    <t>Koordinasi dan Fasilitasi Kegiatan Pemerintahan dan Kemasyarakatan</t>
  </si>
  <si>
    <t>4.01. 4.01.09.01.05</t>
  </si>
  <si>
    <t>PROGRAM PENINGKATAN KAPASITAS SUMBERDAYA APARATUR</t>
  </si>
  <si>
    <t>Pendidikan dan Pelatihan Formal</t>
  </si>
  <si>
    <t>PROGRAM KOORDINASI PEMBERDAYAAN MASYARAKAT</t>
  </si>
  <si>
    <t>4.01. 4.01.09.01.28</t>
  </si>
  <si>
    <t>4.01. 4.01.09.01.28.01</t>
  </si>
  <si>
    <t>Pemberdayaan Posyandu</t>
  </si>
  <si>
    <t>4.01. 4.01.09.01.15</t>
  </si>
  <si>
    <t>PROGRAM PENGEMBANGAN DATA/INFORMASI</t>
  </si>
  <si>
    <t>4.01. 4.01.09.01.15.20</t>
  </si>
  <si>
    <t>Penyusunan Data Statistik Sektoral</t>
  </si>
  <si>
    <t>Tana Paser,  18  Maret 2018</t>
  </si>
  <si>
    <t>Camat Tanah Grogot</t>
  </si>
  <si>
    <t>Siti Makiah, S.Sos</t>
  </si>
  <si>
    <t>NIP. 19630709 198602 2 003</t>
  </si>
  <si>
    <t>bulan 2</t>
  </si>
  <si>
    <t>bulan 3</t>
  </si>
  <si>
    <t>bulan 4</t>
  </si>
  <si>
    <t>blokc sel-sel atau range yang bs diedit klik kanan, format cell</t>
  </si>
  <si>
    <t>muncul jendela format cell&gt;tab protection&gt;unchech&gt;locked&gt;ok</t>
  </si>
  <si>
    <t>Blosk seluruh cell/salah stau cell</t>
  </si>
  <si>
    <t>Review&gt;ikon protect sheet&gt;isi pasword?ok</t>
  </si>
  <si>
    <t>keluar jendela konfirmasi?tulis pasword sekali lagi&gt;ok</t>
  </si>
  <si>
    <t>Tana Paser,  19  Maret 2018</t>
  </si>
  <si>
    <t xml:space="preserve">ANGGARAN BELANJA MURNI           </t>
  </si>
  <si>
    <t>ANGGARAN BELANJA TAMBAHAN (ABT)</t>
  </si>
  <si>
    <t xml:space="preserve">JUMLAH BELANJA </t>
  </si>
  <si>
    <t xml:space="preserve">SISA DANA                            </t>
  </si>
  <si>
    <t>ADMINISTRASI UMUM PERANGKAT DAERAH</t>
  </si>
  <si>
    <t>Penyediaan Bahan Logistik Kantor</t>
  </si>
  <si>
    <t>Penyelenggaraan Rapat Koordinasi dan Konsultasi SKPD</t>
  </si>
  <si>
    <t>PERENCANAAN, PENGANGGARAN, DAN EVALUASI KINERJA PERANGKAT DAERAH</t>
  </si>
  <si>
    <t>Penyusunan Dokumen Perencanaa Perangkat Daerah</t>
  </si>
  <si>
    <t>LAPORAN REALISASI ANGGARAN BELANJA SKPD</t>
  </si>
  <si>
    <t>ADMINISTRASI KEUANGAN PERANGKAT DAERAH</t>
  </si>
  <si>
    <t>Koordinasi dan Pelaksanaan Akuntansi SKPD</t>
  </si>
  <si>
    <t>PENYEDIAAN JASA PENUNJANG URUSAN PEMERINTAHAN DAERAH</t>
  </si>
  <si>
    <t>Penyediaan Jasa Komunikasi,Sumber Daya Air dan Listrik</t>
  </si>
  <si>
    <t>PEMELIHARAAN BARANG MILIK DAERAH PENUNJANG URUSAN PEMERINTAHAN DAERAH</t>
  </si>
  <si>
    <t>REALISASI ANGGARAN BELANJA</t>
  </si>
  <si>
    <t>PENYELENGGARAAN URUSAN PEMERINTAHAN YANG TIDAK DILAKSANAKAN OLEH UNIT KERJA PERANGKAT DAERAH YANG ADA DI KECAMATAN</t>
  </si>
  <si>
    <t xml:space="preserve">Peningkatan Efektifitas Pelaksanaan Pelayanan kepada Masyarakat di Wilayah Kecamatan </t>
  </si>
  <si>
    <t>PELAKSANAAN URUSAN PEMERINTAHAN YANG DILIMPAHKAN KEPADA CAMAT</t>
  </si>
  <si>
    <t>Pelaksanaan Urusan Pemerintahan Yang Terkait dengan Kewenangan Lain yang Dilimpahkan</t>
  </si>
  <si>
    <t>KOORDINASI KEGIATAN PEMBERDAYAAN DESA</t>
  </si>
  <si>
    <t>Peningkatan Partisipasi Masyarakat dalam Forum Musyawarah Perencanaan Pembangunan Di Desa</t>
  </si>
  <si>
    <t>Peningkatan Efektifitas Kegiatan Pemberdayaan Masyarakat di Wilayah Kecamatan</t>
  </si>
  <si>
    <t>KOORDINASI UPAYA PENYELENGGARAAN KETENTRAMAN DAN KETERTIBAN UMUM</t>
  </si>
  <si>
    <t>Harmonisasi Hubungan Dengan Tokoh Agama dan Tokoh Masyarakat</t>
  </si>
  <si>
    <t>KOORDINASI PENERAPAN DAN PENEGAKAN PERATURAN DAERAH DAN PERATURAN KEPALA DAERAH</t>
  </si>
  <si>
    <t xml:space="preserve">Koordinasi/Sinergi Dengan Perangkat Daerah Yang Tugas dan Fungsinya di Bidang Penegakan Reraturan Perundang-Undangan dan/atau Keplisisn Negara RI </t>
  </si>
  <si>
    <t>Pembinaan Wawasan Kebangsaan dan Ketahanan Nasional dalam rangka Memantapkan Pengalamam Pancasila, Pelaksanaan Undang-Undang Dasar Negara Republik Indonesia Tahun 1945,Pelestarian Bhineka Tunggal Ika serta Pemertahanan dan Pemeliharaan keutuhan Negara Kesatuan</t>
  </si>
  <si>
    <t xml:space="preserve">Pembinaan Kerukunan Antar suku dan Intrasuku, Umat Beragama, Ras dan Golongan Lainnya Guna Mewujudkan Stabilitas Keamanan lokal, Regional, dan Nasional </t>
  </si>
  <si>
    <t>Pelaksanaan semua Urusan Pemerintahan yang bukan merupakan Kewenangan Daerah dan tidak dilaksanakan oleh Instalansi Vertikal</t>
  </si>
  <si>
    <t>FASILITASI, REKOMENDASI DAN KORDINASI PEMBINAAN DAN PENGAWASAN PEMERINTAHAN DESA</t>
  </si>
  <si>
    <t>Fasilitasi Administrasi Tata Pemerintahan Desa</t>
  </si>
  <si>
    <t>Fasilitasi Pengelolaan Keuangan Desa dan Pendayagunaan Aset Desa</t>
  </si>
  <si>
    <t>Fasilitasi Penataan ,Pemanfaatan, dan Pendayagunaan Ruang Desa Serta Penetapan dan Penegasan Batas Desa</t>
  </si>
  <si>
    <t>7. 01. 06. 2. 01</t>
  </si>
  <si>
    <t>7. 01. 06. 2. 01. 01</t>
  </si>
  <si>
    <t>7. 01. 06. 2. 01. 02</t>
  </si>
  <si>
    <t>7. 01. 06. 2. 01. 03</t>
  </si>
  <si>
    <t>7. 01. 06. 2. 01. 15</t>
  </si>
  <si>
    <t>7. 01. 03. 2. 01</t>
  </si>
  <si>
    <t>7. 01. 03. 2. 01. 01</t>
  </si>
  <si>
    <t>7. 01. 03. 2. 01. 03</t>
  </si>
  <si>
    <t>7. 01. 01. 2. 06</t>
  </si>
  <si>
    <t>7. 01. 01. 2. 06.01</t>
  </si>
  <si>
    <t>7. 01. 01. 2. 01</t>
  </si>
  <si>
    <t>7. 01. 01. 2. 01. 01</t>
  </si>
  <si>
    <t>7. 01. 01. 2. 01. 06</t>
  </si>
  <si>
    <t>7. 01. 01. 2. 02</t>
  </si>
  <si>
    <t>7. 01. 01. 2. 02. 01</t>
  </si>
  <si>
    <t>KANTOR KECAMATAN TANAH GROGOT</t>
  </si>
  <si>
    <t>Penyediaan Gaji dan Tunjangan ASN</t>
  </si>
  <si>
    <t>7. 01. 01. 2. 02. 04</t>
  </si>
  <si>
    <t>7. 01. 01. 2. 06. 04</t>
  </si>
  <si>
    <t>7. 01. 01. 2. 06. 05</t>
  </si>
  <si>
    <t>7. 01. 01. 2. 06. 09</t>
  </si>
  <si>
    <t>7. 01. 01. 2. 08</t>
  </si>
  <si>
    <t>7. 01. 01. 2. 08. 02</t>
  </si>
  <si>
    <t>7. 01. 01. 2. 09</t>
  </si>
  <si>
    <t>7. 01. 01. 2. 09. 09</t>
  </si>
  <si>
    <t>7. 01. 01. 2. 09. 10</t>
  </si>
  <si>
    <t>7. 01 .04. 2. 02. 01</t>
  </si>
  <si>
    <t>7. 01 . 04. 2. 01</t>
  </si>
  <si>
    <t>7. 01 . 04. 2. 02</t>
  </si>
  <si>
    <t>7. 01 . 04. 2. 01. 01</t>
  </si>
  <si>
    <t>PENYELENGGARAAN URUSAN PEMERINTAHAN UMUM SESUAI PENUGASAN KEPALA DAERAH</t>
  </si>
  <si>
    <t>7. 01 . 05. 2. 01</t>
  </si>
  <si>
    <t>7. 01 . 05. 2. 01. 01</t>
  </si>
  <si>
    <t>7. 01 . 05. 2. 01. 04</t>
  </si>
  <si>
    <t>7. 01 . 05. 2. 01. 07</t>
  </si>
  <si>
    <t>7. 01. 02. 2. 02</t>
  </si>
  <si>
    <t>7. 01. 02. 2. 04</t>
  </si>
  <si>
    <t>7. 01. 02. 2. 04. 03</t>
  </si>
  <si>
    <t>7. 01. 01</t>
  </si>
  <si>
    <t>PROGRAM PENUNJANGAN URUSAN PEMERINTAHAN DAERAH KABUPATEN / KOTA</t>
  </si>
  <si>
    <t>7. 01. 02</t>
  </si>
  <si>
    <t>PROGRAM PENYELENGGARAAN PEMERINTAHAN DAN PELAYANAN PUBLIK</t>
  </si>
  <si>
    <t>7. 01. 03</t>
  </si>
  <si>
    <t>PROGRAM PEMBERDAYAAN MASYARAKAT DESA DAN KELURAHAN</t>
  </si>
  <si>
    <t>7. 01 . 04</t>
  </si>
  <si>
    <t>PRGRAM KOORDINASI KETENTRAMAN DAN KETERTIBAN UMUM</t>
  </si>
  <si>
    <t>7. 01 . 05</t>
  </si>
  <si>
    <t xml:space="preserve">PROGRAM PENYELENGGARAAN URUSAN PEMERINTAHAN UMUM </t>
  </si>
  <si>
    <t>7. 01. 06</t>
  </si>
  <si>
    <t>PROGRAM PEMBINAAN DAN PENGAWASAN PEMERINTAHAN DESA</t>
  </si>
  <si>
    <t>SKPD</t>
  </si>
  <si>
    <t>7. 01. 02. 2. 02. 03</t>
  </si>
  <si>
    <t>7. 01. 03. 2. 02</t>
  </si>
  <si>
    <t>KEGIATAN PEMBERDAYAAN KELURAHAN</t>
  </si>
  <si>
    <t>7. 01. 03. 2. 02. 01</t>
  </si>
  <si>
    <t xml:space="preserve">Peningkatan Partisipasi Masyarakat dalam Forum Musyawarah Perencanaan Pembangunan Di Kelurahan </t>
  </si>
  <si>
    <t>7. 01. 03. 2. 02. 03</t>
  </si>
  <si>
    <t>Pemberdayaan  Masyarakat di Kelurahan</t>
  </si>
  <si>
    <t>7. 01. 01. 2. 07</t>
  </si>
  <si>
    <t>PENGADAAN BARANG MILIK DAERAH PENUNJANG URUSAN PEMERINTAHAN DAERAH</t>
  </si>
  <si>
    <t>7. 01. 01. 2. 07. 06</t>
  </si>
  <si>
    <t>Pengadaan Peralatan dan Mesin lainnya</t>
  </si>
  <si>
    <t>Pemeliharaan/Rehabilitasi Sarana dan Prasarana Gedung Kantor atau Bangunan Lainnya</t>
  </si>
  <si>
    <t xml:space="preserve">Sinergitas dengan Kepolisian Negara Republik Indonesia, Tentara Nasional Indonesia dan Instansi Vertikal di Wilayah Kecamatan </t>
  </si>
  <si>
    <t>Evaluasi Kinerja Perangkat Daerah</t>
  </si>
  <si>
    <t>7. 01. 01. 2. 02. 05</t>
  </si>
  <si>
    <t>Koordinasi dan Penyusunan Laporan Keuangan AkhirTahun SKPD</t>
  </si>
  <si>
    <t>7. 01. 01. 2. 08. 01</t>
  </si>
  <si>
    <t>Penyediaan Jasa Surat Menyurat</t>
  </si>
  <si>
    <t>7. 01 . 04. 2. 03. 02</t>
  </si>
  <si>
    <t>7. 01. 03. 2. 02. 04</t>
  </si>
  <si>
    <t>Evaluasi Kelurahan</t>
  </si>
  <si>
    <t>ORGANISASI</t>
  </si>
  <si>
    <t>BELANJA</t>
  </si>
  <si>
    <t>BELANJA OPERASI</t>
  </si>
  <si>
    <t>01</t>
  </si>
  <si>
    <t>Belanja Pegawai</t>
  </si>
  <si>
    <t>02</t>
  </si>
  <si>
    <t>Belanja Barang dan Jasa</t>
  </si>
  <si>
    <t>BELANJA MODAL</t>
  </si>
  <si>
    <t>Belanja Modal Peralatan dan Mesin</t>
  </si>
  <si>
    <t>03</t>
  </si>
  <si>
    <t>Belanja Modal Gedung dan Bangunan</t>
  </si>
  <si>
    <t>04</t>
  </si>
  <si>
    <t>Belanja Modal Jalan, Jaringan, dan Irigasi</t>
  </si>
  <si>
    <t xml:space="preserve">Pemeliharaan/Rehabilitasi Gedung Kantor dan Bangunan Lainnya </t>
  </si>
  <si>
    <t>KANTOR KELURAHAN TANAH GROGOT</t>
  </si>
  <si>
    <t>Fasilitasi Percepatan Pencapaian Standar Pelayanan Minimal di Wilayah Kecamatan</t>
  </si>
  <si>
    <t>Pemeliharaan Peralatan dan Mesin Lainnya</t>
  </si>
  <si>
    <t>Fasilitasi Penyusunan Peraturan Desa dan Peraturan Kepala Desa</t>
  </si>
  <si>
    <t>Fasilitasi Pelaksanaan Pemilihan Kepala Desa</t>
  </si>
  <si>
    <t>7. 01. 06. 2. 01. 06</t>
  </si>
  <si>
    <t>Pemeliharaan/Rehabilitasi Sarana dan Prasarana Pendukung Gedung Kantor atau Bangunan Lainnya</t>
  </si>
  <si>
    <t>7. 01. 01. 2. 09. 11</t>
  </si>
  <si>
    <t>Koordinasi dan Penyusunan Laporan Keuangan Akhir Tahun SKPD</t>
  </si>
  <si>
    <t>KECAMATAN TANAH GROGOT</t>
  </si>
  <si>
    <t>KABUPATEN PASER TAHUN ANGGARAN 2023</t>
  </si>
  <si>
    <t>FASILITASI, REKOMENDASI DAN KOORDINASI PEMBINAAN DAN PENGAWASAN PEMERINTAHAN DESA</t>
  </si>
  <si>
    <t>7. 01. 02. 2. 02. 02</t>
  </si>
  <si>
    <t>7. 01. 03. 2. 06</t>
  </si>
  <si>
    <t>PEMBERDAYAN DAN KESEJAHTERAAN KELUARGA TINGKAT KECAMATAN DAN KELURAHAN</t>
  </si>
  <si>
    <t>7. 01. 03. 2. 06. 02</t>
  </si>
  <si>
    <t>7. 01. 03. 2. 06. 07</t>
  </si>
  <si>
    <t>Peningkatan Kesadaran Keluarga dalam Membangun Kerja Sama antar Keluarga, Warga, dan Kelompok Masyarakat</t>
  </si>
  <si>
    <t>Penumbuhan Kesadaran Keluarga dalam Peningkatan Derajat Kesehatan Keluarga dan Lingkungan Menerapkan Perilaku Hidup Bersih dan Sehat</t>
  </si>
  <si>
    <t>7. 01 . 04. 2. 01. 02</t>
  </si>
  <si>
    <t>Abdul Rasyid, S.STP., M.A</t>
  </si>
  <si>
    <t>NIP.19790716 200003 1 001</t>
  </si>
  <si>
    <t>7. 01.0.00.0.00.00.0000 KECAMATAN TANAH GROGOT</t>
  </si>
  <si>
    <t xml:space="preserve">Koordinasi/Sinergi Dengan Perangkat Daerah Yang Tugas dan Fungsinya di Bidang Penegakan Reraturan Perundang-Undangan dan/atau Kepolisian Negara RI </t>
  </si>
  <si>
    <t>APRIL</t>
  </si>
  <si>
    <t>7. 01. 01. 2. 09. 06</t>
  </si>
  <si>
    <t xml:space="preserve">        </t>
  </si>
  <si>
    <t>Penyusunan Dokumen Perencanaan Perangkat Daerah</t>
  </si>
  <si>
    <t>JULI</t>
  </si>
  <si>
    <t>AGUSTUS</t>
  </si>
  <si>
    <t>Tana Paser, 05  September  2023</t>
  </si>
  <si>
    <t>SEPTEMBER</t>
  </si>
  <si>
    <t>Tana Paser, 03  Oktober  2023</t>
  </si>
  <si>
    <t xml:space="preserve"> Tana Paser, 3  Oktober  2023</t>
  </si>
  <si>
    <t>Tana Paser, 3  Oktober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</si>
</sst>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.00;[Red]0.00"/>
    <numFmt numFmtId="168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rgb="FF000000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22"/>
      <name val="Bauhaus 93"/>
      <family val="5"/>
    </font>
    <font>
      <sz val="11"/>
      <name val="Arial"/>
      <family val="2"/>
    </font>
    <font>
      <b/>
      <u val="singleAccounting"/>
      <sz val="12"/>
      <name val="Arial Narrow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theme="0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theme="0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theme="0"/>
      </diagonal>
    </border>
  </borders>
  <cellStyleXfs count="1124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86">
    <xf numFmtId="0" fontId="0" fillId="0" borderId="0" xfId="0"/>
    <xf numFmtId="0" fontId="7" fillId="0" borderId="1" xfId="4" applyFont="1" applyBorder="1" applyAlignment="1">
      <alignment horizontal="left"/>
    </xf>
    <xf numFmtId="0" fontId="7" fillId="0" borderId="0" xfId="4" applyFont="1"/>
    <xf numFmtId="0" fontId="7" fillId="0" borderId="0" xfId="4" applyFont="1" applyAlignment="1">
      <alignment horizontal="center"/>
    </xf>
    <xf numFmtId="166" fontId="7" fillId="0" borderId="0" xfId="5" applyNumberFormat="1" applyFont="1" applyFill="1" applyBorder="1" applyAlignment="1">
      <alignment horizontal="center"/>
    </xf>
    <xf numFmtId="166" fontId="7" fillId="0" borderId="0" xfId="5" applyNumberFormat="1" applyFont="1" applyFill="1" applyBorder="1" applyAlignment="1">
      <alignment horizontal="left"/>
    </xf>
    <xf numFmtId="166" fontId="7" fillId="0" borderId="2" xfId="5" applyNumberFormat="1" applyFont="1" applyFill="1" applyBorder="1" applyAlignment="1">
      <alignment horizontal="center"/>
    </xf>
    <xf numFmtId="49" fontId="7" fillId="0" borderId="0" xfId="4" applyNumberFormat="1" applyFont="1" applyAlignment="1">
      <alignment horizontal="left"/>
    </xf>
    <xf numFmtId="166" fontId="8" fillId="0" borderId="0" xfId="5" applyNumberFormat="1" applyFont="1" applyFill="1" applyBorder="1" applyAlignment="1">
      <alignment horizontal="center" vertical="center"/>
    </xf>
    <xf numFmtId="166" fontId="8" fillId="0" borderId="8" xfId="5" applyNumberFormat="1" applyFont="1" applyFill="1" applyBorder="1" applyAlignment="1">
      <alignment horizontal="center" vertical="center"/>
    </xf>
    <xf numFmtId="166" fontId="8" fillId="0" borderId="8" xfId="5" applyNumberFormat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left"/>
    </xf>
    <xf numFmtId="0" fontId="7" fillId="0" borderId="12" xfId="4" applyFont="1" applyBorder="1"/>
    <xf numFmtId="0" fontId="7" fillId="0" borderId="13" xfId="4" applyFont="1" applyBorder="1"/>
    <xf numFmtId="0" fontId="9" fillId="0" borderId="14" xfId="4" applyFont="1" applyBorder="1"/>
    <xf numFmtId="166" fontId="7" fillId="0" borderId="11" xfId="5" applyNumberFormat="1" applyFont="1" applyFill="1" applyBorder="1"/>
    <xf numFmtId="166" fontId="9" fillId="0" borderId="11" xfId="5" applyNumberFormat="1" applyFont="1" applyFill="1" applyBorder="1"/>
    <xf numFmtId="166" fontId="9" fillId="0" borderId="0" xfId="5" applyNumberFormat="1" applyFont="1" applyFill="1" applyBorder="1"/>
    <xf numFmtId="0" fontId="10" fillId="0" borderId="15" xfId="4" applyFont="1" applyBorder="1" applyAlignment="1">
      <alignment vertical="top"/>
    </xf>
    <xf numFmtId="0" fontId="11" fillId="0" borderId="16" xfId="4" applyFont="1" applyBorder="1" applyAlignment="1">
      <alignment vertical="top"/>
    </xf>
    <xf numFmtId="0" fontId="10" fillId="0" borderId="17" xfId="4" applyFont="1" applyBorder="1" applyAlignment="1">
      <alignment horizontal="left" vertical="top"/>
    </xf>
    <xf numFmtId="0" fontId="10" fillId="0" borderId="18" xfId="4" applyFont="1" applyBorder="1" applyAlignment="1">
      <alignment horizontal="left" vertical="top"/>
    </xf>
    <xf numFmtId="166" fontId="10" fillId="0" borderId="15" xfId="5" applyNumberFormat="1" applyFont="1" applyFill="1" applyBorder="1" applyAlignment="1">
      <alignment horizontal="right" vertical="top"/>
    </xf>
    <xf numFmtId="166" fontId="7" fillId="0" borderId="15" xfId="5" applyNumberFormat="1" applyFont="1" applyFill="1" applyBorder="1" applyAlignment="1">
      <alignment horizontal="right"/>
    </xf>
    <xf numFmtId="166" fontId="7" fillId="0" borderId="0" xfId="5" applyNumberFormat="1" applyFont="1" applyFill="1" applyBorder="1"/>
    <xf numFmtId="0" fontId="12" fillId="0" borderId="15" xfId="4" applyFont="1" applyBorder="1" applyAlignment="1">
      <alignment vertical="top"/>
    </xf>
    <xf numFmtId="0" fontId="13" fillId="0" borderId="16" xfId="4" applyFont="1" applyBorder="1" applyAlignment="1">
      <alignment vertical="top"/>
    </xf>
    <xf numFmtId="0" fontId="9" fillId="0" borderId="17" xfId="4" applyFont="1" applyBorder="1" applyAlignment="1">
      <alignment horizontal="left"/>
    </xf>
    <xf numFmtId="0" fontId="9" fillId="0" borderId="18" xfId="4" applyFont="1" applyBorder="1" applyAlignment="1">
      <alignment horizontal="left"/>
    </xf>
    <xf numFmtId="166" fontId="12" fillId="0" borderId="15" xfId="5" applyNumberFormat="1" applyFont="1" applyFill="1" applyBorder="1" applyAlignment="1">
      <alignment horizontal="right" vertical="top"/>
    </xf>
    <xf numFmtId="166" fontId="9" fillId="0" borderId="15" xfId="5" applyNumberFormat="1" applyFont="1" applyFill="1" applyBorder="1" applyAlignment="1">
      <alignment horizontal="right"/>
    </xf>
    <xf numFmtId="167" fontId="9" fillId="0" borderId="15" xfId="3" applyNumberFormat="1" applyFont="1" applyFill="1" applyBorder="1" applyAlignment="1">
      <alignment horizontal="right"/>
    </xf>
    <xf numFmtId="39" fontId="9" fillId="0" borderId="15" xfId="5" applyNumberFormat="1" applyFont="1" applyFill="1" applyBorder="1" applyAlignment="1" applyProtection="1">
      <alignment horizontal="right"/>
      <protection locked="0"/>
    </xf>
    <xf numFmtId="2" fontId="9" fillId="0" borderId="15" xfId="3" applyNumberFormat="1" applyFont="1" applyFill="1" applyBorder="1" applyAlignment="1">
      <alignment horizontal="right"/>
    </xf>
    <xf numFmtId="167" fontId="14" fillId="0" borderId="15" xfId="6" applyNumberFormat="1" applyFont="1" applyFill="1" applyBorder="1" applyAlignment="1" applyProtection="1">
      <alignment horizontal="right"/>
      <protection locked="0"/>
    </xf>
    <xf numFmtId="165" fontId="9" fillId="0" borderId="15" xfId="1" applyFont="1" applyFill="1" applyBorder="1" applyAlignment="1">
      <alignment horizontal="right"/>
    </xf>
    <xf numFmtId="166" fontId="14" fillId="0" borderId="15" xfId="5" applyNumberFormat="1" applyFont="1" applyFill="1" applyBorder="1" applyAlignment="1">
      <alignment horizontal="right"/>
    </xf>
    <xf numFmtId="166" fontId="14" fillId="0" borderId="0" xfId="5" applyNumberFormat="1" applyFont="1" applyFill="1" applyBorder="1"/>
    <xf numFmtId="165" fontId="0" fillId="0" borderId="0" xfId="0" applyNumberFormat="1"/>
    <xf numFmtId="0" fontId="13" fillId="0" borderId="16" xfId="4" applyFont="1" applyBorder="1" applyAlignment="1">
      <alignment vertical="top" wrapText="1"/>
    </xf>
    <xf numFmtId="0" fontId="7" fillId="0" borderId="17" xfId="4" applyFont="1" applyBorder="1" applyAlignment="1">
      <alignment horizontal="left"/>
    </xf>
    <xf numFmtId="0" fontId="7" fillId="0" borderId="18" xfId="4" applyFont="1" applyBorder="1" applyAlignment="1">
      <alignment horizontal="left"/>
    </xf>
    <xf numFmtId="0" fontId="11" fillId="0" borderId="16" xfId="4" applyFont="1" applyBorder="1" applyAlignment="1">
      <alignment vertical="top" wrapText="1"/>
    </xf>
    <xf numFmtId="166" fontId="9" fillId="0" borderId="15" xfId="5" applyNumberFormat="1" applyFont="1" applyFill="1" applyBorder="1" applyAlignment="1" applyProtection="1">
      <alignment horizontal="right"/>
      <protection locked="0"/>
    </xf>
    <xf numFmtId="166" fontId="10" fillId="0" borderId="15" xfId="5" applyNumberFormat="1" applyFont="1" applyFill="1" applyBorder="1" applyAlignment="1">
      <alignment horizontal="right" vertical="center"/>
    </xf>
    <xf numFmtId="0" fontId="12" fillId="0" borderId="19" xfId="4" applyFont="1" applyBorder="1" applyAlignment="1">
      <alignment vertical="top"/>
    </xf>
    <xf numFmtId="0" fontId="13" fillId="0" borderId="20" xfId="4" applyFont="1" applyBorder="1" applyAlignment="1">
      <alignment vertical="top" wrapText="1"/>
    </xf>
    <xf numFmtId="0" fontId="9" fillId="0" borderId="21" xfId="4" applyFont="1" applyBorder="1" applyAlignment="1">
      <alignment horizontal="left"/>
    </xf>
    <xf numFmtId="0" fontId="9" fillId="0" borderId="22" xfId="4" applyFont="1" applyBorder="1" applyAlignment="1">
      <alignment horizontal="left"/>
    </xf>
    <xf numFmtId="166" fontId="12" fillId="0" borderId="19" xfId="5" applyNumberFormat="1" applyFont="1" applyFill="1" applyBorder="1" applyAlignment="1">
      <alignment horizontal="right" vertical="top"/>
    </xf>
    <xf numFmtId="166" fontId="9" fillId="0" borderId="19" xfId="5" applyNumberFormat="1" applyFont="1" applyFill="1" applyBorder="1" applyAlignment="1">
      <alignment horizontal="right"/>
    </xf>
    <xf numFmtId="167" fontId="9" fillId="0" borderId="19" xfId="3" applyNumberFormat="1" applyFont="1" applyFill="1" applyBorder="1" applyAlignment="1">
      <alignment horizontal="right"/>
    </xf>
    <xf numFmtId="39" fontId="9" fillId="0" borderId="19" xfId="5" applyNumberFormat="1" applyFont="1" applyFill="1" applyBorder="1" applyAlignment="1" applyProtection="1">
      <alignment horizontal="right"/>
      <protection locked="0"/>
    </xf>
    <xf numFmtId="2" fontId="9" fillId="0" borderId="19" xfId="3" applyNumberFormat="1" applyFont="1" applyFill="1" applyBorder="1" applyAlignment="1">
      <alignment horizontal="right"/>
    </xf>
    <xf numFmtId="167" fontId="14" fillId="0" borderId="19" xfId="6" applyNumberFormat="1" applyFont="1" applyFill="1" applyBorder="1" applyAlignment="1" applyProtection="1">
      <alignment horizontal="right"/>
      <protection locked="0"/>
    </xf>
    <xf numFmtId="165" fontId="9" fillId="0" borderId="19" xfId="1" applyFont="1" applyFill="1" applyBorder="1" applyAlignment="1">
      <alignment horizontal="right"/>
    </xf>
    <xf numFmtId="166" fontId="7" fillId="0" borderId="6" xfId="5" applyNumberFormat="1" applyFont="1" applyFill="1" applyBorder="1" applyAlignment="1">
      <alignment horizontal="right"/>
    </xf>
    <xf numFmtId="2" fontId="7" fillId="0" borderId="6" xfId="3" applyNumberFormat="1" applyFont="1" applyFill="1" applyBorder="1" applyAlignment="1">
      <alignment horizontal="right"/>
    </xf>
    <xf numFmtId="10" fontId="7" fillId="0" borderId="6" xfId="3" applyNumberFormat="1" applyFont="1" applyFill="1" applyBorder="1" applyAlignment="1">
      <alignment horizontal="center"/>
    </xf>
    <xf numFmtId="166" fontId="7" fillId="0" borderId="6" xfId="5" applyNumberFormat="1" applyFont="1" applyFill="1" applyBorder="1"/>
    <xf numFmtId="0" fontId="9" fillId="0" borderId="1" xfId="5" applyNumberFormat="1" applyFont="1" applyFill="1" applyBorder="1" applyAlignment="1"/>
    <xf numFmtId="166" fontId="15" fillId="0" borderId="0" xfId="5" applyNumberFormat="1" applyFont="1" applyFill="1" applyBorder="1" applyAlignment="1">
      <alignment horizontal="right"/>
    </xf>
    <xf numFmtId="166" fontId="9" fillId="0" borderId="0" xfId="5" applyNumberFormat="1" applyFont="1" applyFill="1" applyBorder="1" applyAlignment="1">
      <alignment horizontal="right"/>
    </xf>
    <xf numFmtId="166" fontId="9" fillId="0" borderId="26" xfId="5" applyNumberFormat="1" applyFont="1" applyFill="1" applyBorder="1" applyAlignment="1">
      <alignment horizontal="right"/>
    </xf>
    <xf numFmtId="166" fontId="9" fillId="0" borderId="2" xfId="5" applyNumberFormat="1" applyFont="1" applyFill="1" applyBorder="1" applyAlignment="1">
      <alignment horizontal="right"/>
    </xf>
    <xf numFmtId="166" fontId="7" fillId="0" borderId="0" xfId="5" applyNumberFormat="1" applyFont="1" applyFill="1" applyBorder="1" applyAlignment="1">
      <alignment horizontal="right"/>
    </xf>
    <xf numFmtId="165" fontId="16" fillId="0" borderId="0" xfId="7" applyFont="1" applyFill="1" applyBorder="1" applyAlignment="1">
      <alignment horizontal="center"/>
    </xf>
    <xf numFmtId="0" fontId="17" fillId="0" borderId="27" xfId="4" applyFont="1" applyBorder="1" applyAlignment="1">
      <alignment horizontal="left"/>
    </xf>
    <xf numFmtId="0" fontId="17" fillId="0" borderId="4" xfId="4" applyFont="1" applyBorder="1"/>
    <xf numFmtId="166" fontId="17" fillId="0" borderId="4" xfId="5" applyNumberFormat="1" applyFont="1" applyFill="1" applyBorder="1"/>
    <xf numFmtId="166" fontId="17" fillId="0" borderId="5" xfId="5" applyNumberFormat="1" applyFont="1" applyFill="1" applyBorder="1"/>
    <xf numFmtId="166" fontId="17" fillId="0" borderId="0" xfId="5" applyNumberFormat="1" applyFont="1" applyFill="1" applyBorder="1"/>
    <xf numFmtId="166" fontId="0" fillId="0" borderId="0" xfId="0" applyNumberFormat="1"/>
    <xf numFmtId="0" fontId="9" fillId="0" borderId="28" xfId="5" applyNumberFormat="1" applyFont="1" applyFill="1" applyBorder="1" applyAlignment="1"/>
    <xf numFmtId="166" fontId="9" fillId="0" borderId="9" xfId="5" applyNumberFormat="1" applyFont="1" applyFill="1" applyBorder="1"/>
    <xf numFmtId="168" fontId="9" fillId="0" borderId="9" xfId="5" applyNumberFormat="1" applyFont="1" applyFill="1" applyBorder="1" applyAlignment="1">
      <alignment horizontal="right"/>
    </xf>
    <xf numFmtId="166" fontId="9" fillId="0" borderId="9" xfId="5" applyNumberFormat="1" applyFont="1" applyFill="1" applyBorder="1" applyAlignment="1">
      <alignment horizontal="right"/>
    </xf>
    <xf numFmtId="166" fontId="7" fillId="0" borderId="9" xfId="5" applyNumberFormat="1" applyFont="1" applyFill="1" applyBorder="1" applyAlignment="1">
      <alignment horizontal="right"/>
    </xf>
    <xf numFmtId="0" fontId="0" fillId="0" borderId="9" xfId="0" applyBorder="1"/>
    <xf numFmtId="166" fontId="9" fillId="0" borderId="29" xfId="5" applyNumberFormat="1" applyFont="1" applyFill="1" applyBorder="1" applyAlignment="1">
      <alignment horizontal="right"/>
    </xf>
    <xf numFmtId="166" fontId="9" fillId="0" borderId="10" xfId="5" applyNumberFormat="1" applyFont="1" applyFill="1" applyBorder="1" applyAlignment="1">
      <alignment horizontal="right"/>
    </xf>
    <xf numFmtId="0" fontId="19" fillId="0" borderId="0" xfId="4" applyFont="1"/>
    <xf numFmtId="0" fontId="19" fillId="0" borderId="0" xfId="4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3" applyFont="1" applyFill="1" applyAlignment="1">
      <alignment horizontal="right"/>
    </xf>
    <xf numFmtId="10" fontId="0" fillId="0" borderId="0" xfId="0" applyNumberFormat="1" applyAlignment="1">
      <alignment horizontal="right"/>
    </xf>
    <xf numFmtId="164" fontId="16" fillId="0" borderId="0" xfId="2" applyFont="1" applyFill="1" applyBorder="1" applyAlignment="1">
      <alignment horizontal="center"/>
    </xf>
    <xf numFmtId="164" fontId="0" fillId="0" borderId="0" xfId="2" applyFont="1" applyFill="1"/>
    <xf numFmtId="164" fontId="17" fillId="0" borderId="27" xfId="2" applyFont="1" applyFill="1" applyBorder="1" applyAlignment="1">
      <alignment horizontal="left"/>
    </xf>
    <xf numFmtId="164" fontId="17" fillId="0" borderId="4" xfId="2" applyFont="1" applyFill="1" applyBorder="1"/>
    <xf numFmtId="164" fontId="17" fillId="0" borderId="5" xfId="2" applyFont="1" applyFill="1" applyBorder="1"/>
    <xf numFmtId="164" fontId="17" fillId="0" borderId="0" xfId="2" applyFont="1" applyFill="1" applyBorder="1"/>
    <xf numFmtId="164" fontId="7" fillId="0" borderId="1" xfId="2" applyFont="1" applyFill="1" applyBorder="1" applyAlignment="1">
      <alignment horizontal="left"/>
    </xf>
    <xf numFmtId="164" fontId="7" fillId="0" borderId="0" xfId="2" applyFont="1" applyFill="1" applyBorder="1"/>
    <xf numFmtId="164" fontId="7" fillId="0" borderId="0" xfId="2" applyFont="1" applyFill="1" applyBorder="1" applyAlignment="1">
      <alignment horizontal="center"/>
    </xf>
    <xf numFmtId="164" fontId="7" fillId="0" borderId="0" xfId="2" applyFont="1" applyFill="1" applyBorder="1" applyAlignment="1">
      <alignment horizontal="left"/>
    </xf>
    <xf numFmtId="164" fontId="7" fillId="0" borderId="2" xfId="2" applyFont="1" applyFill="1" applyBorder="1" applyAlignment="1">
      <alignment horizontal="center"/>
    </xf>
    <xf numFmtId="164" fontId="8" fillId="0" borderId="0" xfId="2" applyFont="1" applyFill="1" applyBorder="1" applyAlignment="1">
      <alignment horizontal="center" vertical="center"/>
    </xf>
    <xf numFmtId="164" fontId="8" fillId="0" borderId="8" xfId="2" applyFont="1" applyFill="1" applyBorder="1" applyAlignment="1">
      <alignment horizontal="center" vertical="center"/>
    </xf>
    <xf numFmtId="164" fontId="8" fillId="0" borderId="8" xfId="2" applyFont="1" applyFill="1" applyBorder="1" applyAlignment="1">
      <alignment horizontal="center" vertical="center" wrapText="1"/>
    </xf>
    <xf numFmtId="164" fontId="7" fillId="0" borderId="11" xfId="2" applyFont="1" applyFill="1" applyBorder="1" applyAlignment="1">
      <alignment horizontal="left"/>
    </xf>
    <xf numFmtId="164" fontId="7" fillId="0" borderId="12" xfId="2" applyFont="1" applyFill="1" applyBorder="1"/>
    <xf numFmtId="164" fontId="7" fillId="0" borderId="13" xfId="2" applyFont="1" applyFill="1" applyBorder="1"/>
    <xf numFmtId="164" fontId="9" fillId="0" borderId="14" xfId="2" applyFont="1" applyFill="1" applyBorder="1"/>
    <xf numFmtId="164" fontId="9" fillId="0" borderId="11" xfId="2" applyFont="1" applyFill="1" applyBorder="1"/>
    <xf numFmtId="164" fontId="9" fillId="0" borderId="0" xfId="2" applyFont="1" applyFill="1" applyBorder="1"/>
    <xf numFmtId="164" fontId="10" fillId="0" borderId="17" xfId="2" applyFont="1" applyFill="1" applyBorder="1" applyAlignment="1">
      <alignment horizontal="left" vertical="top"/>
    </xf>
    <xf numFmtId="164" fontId="10" fillId="0" borderId="18" xfId="2" applyFont="1" applyFill="1" applyBorder="1" applyAlignment="1">
      <alignment horizontal="left" vertical="top"/>
    </xf>
    <xf numFmtId="164" fontId="10" fillId="0" borderId="15" xfId="2" applyFont="1" applyFill="1" applyBorder="1" applyAlignment="1">
      <alignment horizontal="right" vertical="top"/>
    </xf>
    <xf numFmtId="164" fontId="9" fillId="0" borderId="15" xfId="2" applyFont="1" applyFill="1" applyBorder="1" applyAlignment="1">
      <alignment vertical="top"/>
    </xf>
    <xf numFmtId="164" fontId="13" fillId="0" borderId="16" xfId="2" applyFont="1" applyFill="1" applyBorder="1" applyAlignment="1">
      <alignment vertical="top"/>
    </xf>
    <xf numFmtId="164" fontId="9" fillId="0" borderId="17" xfId="2" applyFont="1" applyFill="1" applyBorder="1" applyAlignment="1">
      <alignment horizontal="left"/>
    </xf>
    <xf numFmtId="164" fontId="9" fillId="0" borderId="18" xfId="2" applyFont="1" applyFill="1" applyBorder="1" applyAlignment="1">
      <alignment horizontal="left"/>
    </xf>
    <xf numFmtId="164" fontId="9" fillId="0" borderId="15" xfId="2" applyFont="1" applyFill="1" applyBorder="1" applyAlignment="1">
      <alignment horizontal="right"/>
    </xf>
    <xf numFmtId="164" fontId="9" fillId="0" borderId="15" xfId="2" applyFont="1" applyFill="1" applyBorder="1" applyAlignment="1" applyProtection="1">
      <alignment horizontal="right"/>
      <protection locked="0"/>
    </xf>
    <xf numFmtId="164" fontId="12" fillId="0" borderId="15" xfId="2" applyFont="1" applyFill="1" applyBorder="1" applyAlignment="1">
      <alignment horizontal="right" vertical="top"/>
    </xf>
    <xf numFmtId="164" fontId="14" fillId="0" borderId="15" xfId="2" applyFont="1" applyFill="1" applyBorder="1" applyAlignment="1">
      <alignment horizontal="right"/>
    </xf>
    <xf numFmtId="164" fontId="14" fillId="0" borderId="0" xfId="2" applyFont="1" applyFill="1" applyBorder="1"/>
    <xf numFmtId="164" fontId="13" fillId="0" borderId="16" xfId="2" applyFont="1" applyFill="1" applyBorder="1" applyAlignment="1">
      <alignment vertical="top" wrapText="1"/>
    </xf>
    <xf numFmtId="164" fontId="13" fillId="0" borderId="16" xfId="2" applyFont="1" applyFill="1" applyBorder="1" applyAlignment="1">
      <alignment horizontal="left" vertical="top" wrapText="1"/>
    </xf>
    <xf numFmtId="164" fontId="13" fillId="0" borderId="17" xfId="2" applyFont="1" applyFill="1" applyBorder="1" applyAlignment="1">
      <alignment horizontal="left" vertical="top" wrapText="1"/>
    </xf>
    <xf numFmtId="164" fontId="13" fillId="0" borderId="18" xfId="2" applyFont="1" applyFill="1" applyBorder="1" applyAlignment="1">
      <alignment horizontal="left" vertical="top" wrapText="1"/>
    </xf>
    <xf numFmtId="164" fontId="12" fillId="0" borderId="15" xfId="2" applyFont="1" applyFill="1" applyBorder="1" applyAlignment="1">
      <alignment vertical="top"/>
    </xf>
    <xf numFmtId="164" fontId="7" fillId="0" borderId="17" xfId="2" applyFont="1" applyFill="1" applyBorder="1" applyAlignment="1">
      <alignment horizontal="left"/>
    </xf>
    <xf numFmtId="164" fontId="7" fillId="0" borderId="18" xfId="2" applyFont="1" applyFill="1" applyBorder="1" applyAlignment="1">
      <alignment horizontal="left"/>
    </xf>
    <xf numFmtId="164" fontId="11" fillId="0" borderId="17" xfId="2" applyFont="1" applyFill="1" applyBorder="1" applyAlignment="1">
      <alignment horizontal="left" vertical="top" wrapText="1"/>
    </xf>
    <xf numFmtId="164" fontId="11" fillId="0" borderId="18" xfId="2" applyFont="1" applyFill="1" applyBorder="1" applyAlignment="1">
      <alignment horizontal="left" vertical="top" wrapText="1"/>
    </xf>
    <xf numFmtId="164" fontId="12" fillId="0" borderId="19" xfId="2" applyFont="1" applyFill="1" applyBorder="1" applyAlignment="1">
      <alignment vertical="top"/>
    </xf>
    <xf numFmtId="164" fontId="13" fillId="0" borderId="20" xfId="2" applyFont="1" applyFill="1" applyBorder="1" applyAlignment="1">
      <alignment vertical="top" wrapText="1"/>
    </xf>
    <xf numFmtId="164" fontId="9" fillId="0" borderId="21" xfId="2" applyFont="1" applyFill="1" applyBorder="1" applyAlignment="1">
      <alignment horizontal="left"/>
    </xf>
    <xf numFmtId="164" fontId="9" fillId="0" borderId="22" xfId="2" applyFont="1" applyFill="1" applyBorder="1" applyAlignment="1">
      <alignment horizontal="left"/>
    </xf>
    <xf numFmtId="164" fontId="12" fillId="0" borderId="19" xfId="2" applyFont="1" applyFill="1" applyBorder="1" applyAlignment="1">
      <alignment horizontal="right" vertical="top"/>
    </xf>
    <xf numFmtId="164" fontId="9" fillId="0" borderId="19" xfId="2" applyFont="1" applyFill="1" applyBorder="1" applyAlignment="1">
      <alignment horizontal="right"/>
    </xf>
    <xf numFmtId="164" fontId="9" fillId="0" borderId="19" xfId="2" applyFont="1" applyFill="1" applyBorder="1" applyAlignment="1" applyProtection="1">
      <alignment horizontal="right"/>
      <protection locked="0"/>
    </xf>
    <xf numFmtId="164" fontId="12" fillId="0" borderId="30" xfId="2" applyFont="1" applyFill="1" applyBorder="1" applyAlignment="1">
      <alignment vertical="top"/>
    </xf>
    <xf numFmtId="164" fontId="13" fillId="0" borderId="31" xfId="2" applyFont="1" applyFill="1" applyBorder="1" applyAlignment="1">
      <alignment vertical="top" wrapText="1"/>
    </xf>
    <xf numFmtId="164" fontId="9" fillId="0" borderId="32" xfId="2" applyFont="1" applyFill="1" applyBorder="1" applyAlignment="1">
      <alignment horizontal="left"/>
    </xf>
    <xf numFmtId="164" fontId="9" fillId="0" borderId="33" xfId="2" applyFont="1" applyFill="1" applyBorder="1" applyAlignment="1">
      <alignment horizontal="left"/>
    </xf>
    <xf numFmtId="164" fontId="12" fillId="0" borderId="30" xfId="2" applyFont="1" applyFill="1" applyBorder="1" applyAlignment="1">
      <alignment horizontal="right" vertical="top"/>
    </xf>
    <xf numFmtId="164" fontId="9" fillId="0" borderId="30" xfId="2" applyFont="1" applyFill="1" applyBorder="1" applyAlignment="1">
      <alignment horizontal="right"/>
    </xf>
    <xf numFmtId="164" fontId="9" fillId="0" borderId="30" xfId="2" applyFont="1" applyFill="1" applyBorder="1" applyAlignment="1" applyProtection="1">
      <alignment horizontal="right"/>
      <protection locked="0"/>
    </xf>
    <xf numFmtId="164" fontId="12" fillId="0" borderId="28" xfId="2" applyFont="1" applyFill="1" applyBorder="1" applyAlignment="1">
      <alignment vertical="top"/>
    </xf>
    <xf numFmtId="164" fontId="13" fillId="0" borderId="9" xfId="2" applyFont="1" applyFill="1" applyBorder="1" applyAlignment="1">
      <alignment vertical="top" wrapText="1"/>
    </xf>
    <xf numFmtId="164" fontId="9" fillId="0" borderId="9" xfId="2" applyFont="1" applyFill="1" applyBorder="1" applyAlignment="1">
      <alignment horizontal="left"/>
    </xf>
    <xf numFmtId="164" fontId="9" fillId="0" borderId="10" xfId="2" applyFont="1" applyFill="1" applyBorder="1" applyAlignment="1">
      <alignment horizontal="left"/>
    </xf>
    <xf numFmtId="164" fontId="12" fillId="0" borderId="8" xfId="2" applyFont="1" applyFill="1" applyBorder="1" applyAlignment="1">
      <alignment horizontal="right" vertical="top"/>
    </xf>
    <xf numFmtId="164" fontId="9" fillId="0" borderId="8" xfId="2" applyFont="1" applyFill="1" applyBorder="1" applyAlignment="1">
      <alignment horizontal="right"/>
    </xf>
    <xf numFmtId="164" fontId="9" fillId="0" borderId="8" xfId="2" applyFont="1" applyFill="1" applyBorder="1" applyAlignment="1" applyProtection="1">
      <alignment horizontal="right"/>
      <protection locked="0"/>
    </xf>
    <xf numFmtId="164" fontId="7" fillId="0" borderId="6" xfId="2" applyFont="1" applyFill="1" applyBorder="1" applyAlignment="1">
      <alignment horizontal="right"/>
    </xf>
    <xf numFmtId="164" fontId="7" fillId="0" borderId="6" xfId="2" applyFont="1" applyFill="1" applyBorder="1" applyAlignment="1">
      <alignment horizontal="center"/>
    </xf>
    <xf numFmtId="164" fontId="9" fillId="0" borderId="1" xfId="2" applyFont="1" applyFill="1" applyBorder="1" applyAlignment="1"/>
    <xf numFmtId="164" fontId="15" fillId="0" borderId="0" xfId="2" applyFont="1" applyFill="1" applyBorder="1" applyAlignment="1">
      <alignment horizontal="right"/>
    </xf>
    <xf numFmtId="164" fontId="9" fillId="0" borderId="0" xfId="2" applyFont="1" applyFill="1" applyBorder="1" applyAlignment="1">
      <alignment horizontal="right"/>
    </xf>
    <xf numFmtId="164" fontId="9" fillId="0" borderId="26" xfId="2" applyFont="1" applyFill="1" applyBorder="1" applyAlignment="1">
      <alignment horizontal="right"/>
    </xf>
    <xf numFmtId="164" fontId="9" fillId="0" borderId="2" xfId="2" applyFont="1" applyFill="1" applyBorder="1" applyAlignment="1">
      <alignment horizontal="right"/>
    </xf>
    <xf numFmtId="164" fontId="0" fillId="0" borderId="0" xfId="2" applyFont="1" applyFill="1" applyBorder="1"/>
    <xf numFmtId="164" fontId="7" fillId="0" borderId="0" xfId="2" applyFont="1" applyFill="1" applyBorder="1" applyAlignment="1">
      <alignment horizontal="right"/>
    </xf>
    <xf numFmtId="164" fontId="9" fillId="0" borderId="28" xfId="2" applyFont="1" applyFill="1" applyBorder="1" applyAlignment="1"/>
    <xf numFmtId="164" fontId="9" fillId="0" borderId="9" xfId="2" applyFont="1" applyFill="1" applyBorder="1"/>
    <xf numFmtId="164" fontId="9" fillId="0" borderId="9" xfId="2" applyFont="1" applyFill="1" applyBorder="1" applyAlignment="1">
      <alignment horizontal="right"/>
    </xf>
    <xf numFmtId="164" fontId="0" fillId="0" borderId="9" xfId="2" applyFont="1" applyFill="1" applyBorder="1"/>
    <xf numFmtId="164" fontId="9" fillId="0" borderId="29" xfId="2" applyFont="1" applyFill="1" applyBorder="1" applyAlignment="1">
      <alignment horizontal="right"/>
    </xf>
    <xf numFmtId="164" fontId="9" fillId="0" borderId="10" xfId="2" applyFont="1" applyFill="1" applyBorder="1" applyAlignment="1">
      <alignment horizontal="right"/>
    </xf>
    <xf numFmtId="164" fontId="19" fillId="0" borderId="0" xfId="2" applyFont="1" applyFill="1"/>
    <xf numFmtId="164" fontId="19" fillId="0" borderId="0" xfId="2" applyFont="1" applyFill="1" applyAlignment="1">
      <alignment horizontal="right"/>
    </xf>
    <xf numFmtId="164" fontId="0" fillId="0" borderId="0" xfId="2" applyFont="1" applyFill="1" applyAlignment="1">
      <alignment horizontal="right"/>
    </xf>
    <xf numFmtId="166" fontId="10" fillId="0" borderId="15" xfId="2" applyNumberFormat="1" applyFont="1" applyFill="1" applyBorder="1" applyAlignment="1">
      <alignment horizontal="right" vertical="top"/>
    </xf>
    <xf numFmtId="166" fontId="9" fillId="0" borderId="15" xfId="2" applyNumberFormat="1" applyFont="1" applyFill="1" applyBorder="1" applyAlignment="1">
      <alignment horizontal="right"/>
    </xf>
    <xf numFmtId="166" fontId="9" fillId="0" borderId="19" xfId="2" applyNumberFormat="1" applyFont="1" applyFill="1" applyBorder="1" applyAlignment="1">
      <alignment horizontal="right"/>
    </xf>
    <xf numFmtId="166" fontId="9" fillId="0" borderId="30" xfId="2" applyNumberFormat="1" applyFont="1" applyFill="1" applyBorder="1" applyAlignment="1">
      <alignment horizontal="right"/>
    </xf>
    <xf numFmtId="166" fontId="9" fillId="0" borderId="8" xfId="2" applyNumberFormat="1" applyFont="1" applyFill="1" applyBorder="1" applyAlignment="1">
      <alignment horizontal="right"/>
    </xf>
    <xf numFmtId="166" fontId="7" fillId="0" borderId="6" xfId="2" applyNumberFormat="1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6" fontId="7" fillId="0" borderId="9" xfId="2" applyNumberFormat="1" applyFont="1" applyFill="1" applyBorder="1" applyAlignment="1">
      <alignment horizontal="right"/>
    </xf>
    <xf numFmtId="166" fontId="19" fillId="0" borderId="0" xfId="2" applyNumberFormat="1" applyFont="1" applyFill="1" applyAlignment="1">
      <alignment horizontal="right"/>
    </xf>
    <xf numFmtId="166" fontId="0" fillId="0" borderId="0" xfId="2" applyNumberFormat="1" applyFont="1" applyFill="1" applyAlignment="1">
      <alignment horizontal="right"/>
    </xf>
    <xf numFmtId="166" fontId="14" fillId="0" borderId="15" xfId="2" applyNumberFormat="1" applyFont="1" applyFill="1" applyBorder="1" applyAlignment="1" applyProtection="1">
      <alignment horizontal="right"/>
      <protection locked="0"/>
    </xf>
    <xf numFmtId="166" fontId="14" fillId="0" borderId="30" xfId="2" applyNumberFormat="1" applyFont="1" applyFill="1" applyBorder="1" applyAlignment="1" applyProtection="1">
      <alignment horizontal="right"/>
      <protection locked="0"/>
    </xf>
    <xf numFmtId="164" fontId="10" fillId="2" borderId="15" xfId="2" applyFont="1" applyFill="1" applyBorder="1" applyAlignment="1">
      <alignment vertical="top"/>
    </xf>
    <xf numFmtId="164" fontId="11" fillId="2" borderId="16" xfId="2" applyFont="1" applyFill="1" applyBorder="1" applyAlignment="1">
      <alignment vertical="top"/>
    </xf>
    <xf numFmtId="164" fontId="10" fillId="2" borderId="17" xfId="2" applyFont="1" applyFill="1" applyBorder="1" applyAlignment="1">
      <alignment horizontal="left" vertical="top"/>
    </xf>
    <xf numFmtId="164" fontId="10" fillId="2" borderId="18" xfId="2" applyFont="1" applyFill="1" applyBorder="1" applyAlignment="1">
      <alignment horizontal="left" vertical="top"/>
    </xf>
    <xf numFmtId="164" fontId="10" fillId="2" borderId="15" xfId="2" applyFont="1" applyFill="1" applyBorder="1" applyAlignment="1">
      <alignment horizontal="right" vertical="top"/>
    </xf>
    <xf numFmtId="166" fontId="10" fillId="2" borderId="15" xfId="2" applyNumberFormat="1" applyFont="1" applyFill="1" applyBorder="1" applyAlignment="1">
      <alignment horizontal="right" vertical="top"/>
    </xf>
    <xf numFmtId="164" fontId="7" fillId="2" borderId="15" xfId="2" applyFont="1" applyFill="1" applyBorder="1" applyAlignment="1">
      <alignment horizontal="right"/>
    </xf>
    <xf numFmtId="166" fontId="9" fillId="2" borderId="15" xfId="2" applyNumberFormat="1" applyFont="1" applyFill="1" applyBorder="1" applyAlignment="1">
      <alignment horizontal="right"/>
    </xf>
    <xf numFmtId="164" fontId="9" fillId="2" borderId="15" xfId="2" applyFont="1" applyFill="1" applyBorder="1" applyAlignment="1">
      <alignment horizontal="right"/>
    </xf>
    <xf numFmtId="164" fontId="11" fillId="2" borderId="16" xfId="2" applyFont="1" applyFill="1" applyBorder="1" applyAlignment="1">
      <alignment vertical="top" wrapText="1"/>
    </xf>
    <xf numFmtId="164" fontId="9" fillId="2" borderId="17" xfId="2" applyFont="1" applyFill="1" applyBorder="1" applyAlignment="1">
      <alignment horizontal="left"/>
    </xf>
    <xf numFmtId="164" fontId="9" fillId="2" borderId="18" xfId="2" applyFont="1" applyFill="1" applyBorder="1" applyAlignment="1">
      <alignment horizontal="left"/>
    </xf>
    <xf numFmtId="164" fontId="10" fillId="2" borderId="15" xfId="2" applyFont="1" applyFill="1" applyBorder="1" applyAlignment="1">
      <alignment horizontal="right" vertical="center"/>
    </xf>
    <xf numFmtId="166" fontId="10" fillId="2" borderId="15" xfId="2" applyNumberFormat="1" applyFont="1" applyFill="1" applyBorder="1" applyAlignment="1">
      <alignment horizontal="right" vertical="center"/>
    </xf>
    <xf numFmtId="164" fontId="12" fillId="2" borderId="15" xfId="2" applyFont="1" applyFill="1" applyBorder="1" applyAlignment="1">
      <alignment horizontal="right" vertical="top"/>
    </xf>
    <xf numFmtId="166" fontId="10" fillId="2" borderId="15" xfId="2" applyNumberFormat="1" applyFont="1" applyFill="1" applyBorder="1" applyAlignment="1" applyProtection="1">
      <alignment horizontal="right" vertical="top"/>
      <protection locked="0"/>
    </xf>
    <xf numFmtId="164" fontId="7" fillId="0" borderId="11" xfId="2" applyFont="1" applyFill="1" applyBorder="1" applyProtection="1">
      <protection locked="0"/>
    </xf>
    <xf numFmtId="164" fontId="10" fillId="2" borderId="15" xfId="2" applyFont="1" applyFill="1" applyBorder="1" applyAlignment="1" applyProtection="1">
      <alignment horizontal="right" vertical="top"/>
      <protection locked="0"/>
    </xf>
    <xf numFmtId="164" fontId="12" fillId="0" borderId="15" xfId="2" applyFont="1" applyFill="1" applyBorder="1" applyAlignment="1" applyProtection="1">
      <alignment horizontal="right" vertical="top"/>
      <protection locked="0"/>
    </xf>
    <xf numFmtId="164" fontId="10" fillId="2" borderId="15" xfId="2" applyFont="1" applyFill="1" applyBorder="1" applyAlignment="1" applyProtection="1">
      <alignment horizontal="right" vertical="center"/>
      <protection locked="0"/>
    </xf>
    <xf numFmtId="164" fontId="12" fillId="0" borderId="19" xfId="2" applyFont="1" applyFill="1" applyBorder="1" applyAlignment="1" applyProtection="1">
      <alignment horizontal="right" vertical="top"/>
      <protection locked="0"/>
    </xf>
    <xf numFmtId="164" fontId="12" fillId="0" borderId="30" xfId="2" applyFont="1" applyFill="1" applyBorder="1" applyAlignment="1" applyProtection="1">
      <alignment horizontal="right" vertical="top"/>
      <protection locked="0"/>
    </xf>
    <xf numFmtId="164" fontId="12" fillId="0" borderId="8" xfId="2" applyFont="1" applyFill="1" applyBorder="1" applyAlignment="1" applyProtection="1">
      <alignment horizontal="right" vertical="top"/>
      <protection locked="0"/>
    </xf>
    <xf numFmtId="164" fontId="7" fillId="0" borderId="6" xfId="2" applyFont="1" applyFill="1" applyBorder="1" applyAlignment="1" applyProtection="1">
      <alignment horizontal="right"/>
      <protection locked="0"/>
    </xf>
    <xf numFmtId="164" fontId="9" fillId="0" borderId="11" xfId="2" applyFont="1" applyFill="1" applyBorder="1" applyProtection="1">
      <protection locked="0"/>
    </xf>
    <xf numFmtId="166" fontId="10" fillId="2" borderId="15" xfId="2" applyNumberFormat="1" applyFont="1" applyFill="1" applyBorder="1" applyAlignment="1" applyProtection="1">
      <alignment horizontal="right" vertical="center"/>
      <protection locked="0"/>
    </xf>
    <xf numFmtId="164" fontId="10" fillId="0" borderId="15" xfId="2" applyFont="1" applyFill="1" applyBorder="1" applyAlignment="1" applyProtection="1">
      <alignment horizontal="right" vertical="top"/>
      <protection locked="0"/>
    </xf>
    <xf numFmtId="166" fontId="9" fillId="0" borderId="15" xfId="2" applyNumberFormat="1" applyFont="1" applyFill="1" applyBorder="1" applyAlignment="1" applyProtection="1">
      <alignment horizontal="right"/>
      <protection locked="0"/>
    </xf>
    <xf numFmtId="166" fontId="10" fillId="0" borderId="15" xfId="2" applyNumberFormat="1" applyFont="1" applyFill="1" applyBorder="1" applyAlignment="1" applyProtection="1">
      <alignment horizontal="right" vertical="top"/>
      <protection locked="0"/>
    </xf>
    <xf numFmtId="166" fontId="9" fillId="0" borderId="19" xfId="2" applyNumberFormat="1" applyFont="1" applyFill="1" applyBorder="1" applyAlignment="1" applyProtection="1">
      <alignment horizontal="right"/>
      <protection locked="0"/>
    </xf>
    <xf numFmtId="166" fontId="9" fillId="0" borderId="30" xfId="2" applyNumberFormat="1" applyFont="1" applyFill="1" applyBorder="1" applyAlignment="1" applyProtection="1">
      <alignment horizontal="right"/>
      <protection locked="0"/>
    </xf>
    <xf numFmtId="166" fontId="15" fillId="0" borderId="30" xfId="2" applyNumberFormat="1" applyFont="1" applyFill="1" applyBorder="1" applyAlignment="1" applyProtection="1">
      <alignment horizontal="right"/>
      <protection locked="0"/>
    </xf>
    <xf numFmtId="164" fontId="22" fillId="0" borderId="19" xfId="2" applyFont="1" applyFill="1" applyBorder="1" applyAlignment="1">
      <alignment horizontal="right"/>
    </xf>
    <xf numFmtId="164" fontId="7" fillId="0" borderId="0" xfId="2" applyFont="1" applyFill="1" applyBorder="1" applyAlignment="1" applyProtection="1">
      <alignment horizontal="right"/>
      <protection locked="0"/>
    </xf>
    <xf numFmtId="164" fontId="9" fillId="0" borderId="26" xfId="2" applyFont="1" applyFill="1" applyBorder="1" applyAlignment="1" applyProtection="1">
      <alignment horizontal="right"/>
      <protection locked="0"/>
    </xf>
    <xf numFmtId="164" fontId="7" fillId="0" borderId="0" xfId="2" applyFont="1" applyFill="1" applyBorder="1" applyAlignment="1" applyProtection="1">
      <alignment horizontal="left"/>
      <protection locked="0"/>
    </xf>
    <xf numFmtId="164" fontId="7" fillId="0" borderId="0" xfId="2" applyFont="1" applyFill="1" applyBorder="1" applyAlignment="1" applyProtection="1">
      <alignment horizontal="center"/>
      <protection locked="0"/>
    </xf>
    <xf numFmtId="164" fontId="12" fillId="0" borderId="15" xfId="2" applyFont="1" applyFill="1" applyBorder="1" applyAlignment="1" applyProtection="1">
      <alignment vertical="center"/>
      <protection locked="0"/>
    </xf>
    <xf numFmtId="164" fontId="10" fillId="0" borderId="15" xfId="2" applyFont="1" applyFill="1" applyBorder="1" applyAlignment="1" applyProtection="1">
      <alignment vertical="center"/>
      <protection locked="0"/>
    </xf>
    <xf numFmtId="164" fontId="9" fillId="0" borderId="15" xfId="2" applyFont="1" applyFill="1" applyBorder="1" applyAlignment="1" applyProtection="1">
      <alignment vertical="center"/>
      <protection locked="0"/>
    </xf>
    <xf numFmtId="166" fontId="9" fillId="0" borderId="15" xfId="2" applyNumberFormat="1" applyFont="1" applyFill="1" applyBorder="1" applyAlignment="1">
      <alignment vertical="center"/>
    </xf>
    <xf numFmtId="166" fontId="14" fillId="0" borderId="15" xfId="2" applyNumberFormat="1" applyFont="1" applyFill="1" applyBorder="1" applyAlignment="1" applyProtection="1">
      <alignment vertical="center"/>
      <protection locked="0"/>
    </xf>
    <xf numFmtId="166" fontId="9" fillId="0" borderId="15" xfId="2" applyNumberFormat="1" applyFont="1" applyFill="1" applyBorder="1" applyAlignment="1" applyProtection="1">
      <alignment vertical="center"/>
      <protection locked="0"/>
    </xf>
    <xf numFmtId="166" fontId="12" fillId="0" borderId="15" xfId="2" applyNumberFormat="1" applyFont="1" applyFill="1" applyBorder="1" applyAlignment="1">
      <alignment vertical="center"/>
    </xf>
    <xf numFmtId="164" fontId="9" fillId="0" borderId="0" xfId="2" applyFont="1" applyFill="1" applyBorder="1" applyAlignment="1"/>
    <xf numFmtId="164" fontId="10" fillId="3" borderId="15" xfId="2" applyFont="1" applyFill="1" applyBorder="1" applyAlignment="1" applyProtection="1">
      <alignment vertical="center"/>
      <protection locked="0"/>
    </xf>
    <xf numFmtId="166" fontId="10" fillId="3" borderId="15" xfId="2" applyNumberFormat="1" applyFont="1" applyFill="1" applyBorder="1" applyAlignment="1">
      <alignment vertical="center"/>
    </xf>
    <xf numFmtId="166" fontId="10" fillId="3" borderId="15" xfId="2" applyNumberFormat="1" applyFont="1" applyFill="1" applyBorder="1" applyAlignment="1" applyProtection="1">
      <alignment vertical="center"/>
      <protection locked="0"/>
    </xf>
    <xf numFmtId="166" fontId="7" fillId="3" borderId="15" xfId="2" applyNumberFormat="1" applyFont="1" applyFill="1" applyBorder="1" applyAlignment="1">
      <alignment vertical="center"/>
    </xf>
    <xf numFmtId="164" fontId="10" fillId="4" borderId="15" xfId="2" applyFont="1" applyFill="1" applyBorder="1" applyAlignment="1" applyProtection="1">
      <alignment vertical="center"/>
      <protection locked="0"/>
    </xf>
    <xf numFmtId="166" fontId="10" fillId="4" borderId="15" xfId="2" applyNumberFormat="1" applyFont="1" applyFill="1" applyBorder="1" applyAlignment="1">
      <alignment vertical="center"/>
    </xf>
    <xf numFmtId="166" fontId="10" fillId="4" borderId="15" xfId="2" applyNumberFormat="1" applyFont="1" applyFill="1" applyBorder="1" applyAlignment="1" applyProtection="1">
      <alignment vertical="center"/>
      <protection locked="0"/>
    </xf>
    <xf numFmtId="166" fontId="7" fillId="4" borderId="15" xfId="2" applyNumberFormat="1" applyFont="1" applyFill="1" applyBorder="1" applyAlignment="1">
      <alignment vertical="center"/>
    </xf>
    <xf numFmtId="164" fontId="8" fillId="5" borderId="8" xfId="2" applyFont="1" applyFill="1" applyBorder="1" applyAlignment="1" applyProtection="1">
      <alignment horizontal="center" vertical="center" wrapText="1"/>
      <protection locked="0"/>
    </xf>
    <xf numFmtId="0" fontId="11" fillId="3" borderId="17" xfId="2" applyNumberFormat="1" applyFont="1" applyFill="1" applyBorder="1" applyAlignment="1">
      <alignment horizontal="left" vertical="center" wrapText="1"/>
    </xf>
    <xf numFmtId="0" fontId="11" fillId="4" borderId="17" xfId="2" applyNumberFormat="1" applyFont="1" applyFill="1" applyBorder="1" applyAlignment="1">
      <alignment horizontal="left" vertical="center" wrapText="1"/>
    </xf>
    <xf numFmtId="0" fontId="13" fillId="0" borderId="17" xfId="2" applyNumberFormat="1" applyFont="1" applyFill="1" applyBorder="1" applyAlignment="1">
      <alignment horizontal="left" vertical="center" wrapText="1"/>
    </xf>
    <xf numFmtId="164" fontId="7" fillId="0" borderId="6" xfId="2" applyFont="1" applyFill="1" applyBorder="1" applyAlignment="1" applyProtection="1">
      <alignment horizontal="right" vertical="center"/>
      <protection locked="0"/>
    </xf>
    <xf numFmtId="166" fontId="7" fillId="0" borderId="6" xfId="2" applyNumberFormat="1" applyFont="1" applyFill="1" applyBorder="1" applyAlignment="1">
      <alignment horizontal="right" vertical="center"/>
    </xf>
    <xf numFmtId="164" fontId="8" fillId="5" borderId="8" xfId="2" applyFont="1" applyFill="1" applyBorder="1" applyAlignment="1">
      <alignment horizontal="center" vertical="center"/>
    </xf>
    <xf numFmtId="164" fontId="8" fillId="5" borderId="8" xfId="2" applyFont="1" applyFill="1" applyBorder="1" applyAlignment="1">
      <alignment horizontal="center" vertical="center" wrapText="1"/>
    </xf>
    <xf numFmtId="164" fontId="12" fillId="0" borderId="15" xfId="2" applyFont="1" applyFill="1" applyBorder="1" applyAlignment="1">
      <alignment vertical="center"/>
    </xf>
    <xf numFmtId="164" fontId="9" fillId="0" borderId="16" xfId="2" applyFont="1" applyFill="1" applyBorder="1" applyAlignment="1">
      <alignment vertical="center"/>
    </xf>
    <xf numFmtId="0" fontId="13" fillId="0" borderId="17" xfId="2" applyNumberFormat="1" applyFont="1" applyFill="1" applyBorder="1" applyAlignment="1">
      <alignment vertical="center" wrapText="1"/>
    </xf>
    <xf numFmtId="164" fontId="9" fillId="0" borderId="15" xfId="2" applyFont="1" applyFill="1" applyBorder="1" applyAlignment="1">
      <alignment horizontal="right" vertical="center"/>
    </xf>
    <xf numFmtId="164" fontId="0" fillId="0" borderId="0" xfId="2" applyFont="1" applyFill="1" applyAlignment="1">
      <alignment vertical="center"/>
    </xf>
    <xf numFmtId="164" fontId="17" fillId="0" borderId="27" xfId="2" applyFont="1" applyFill="1" applyBorder="1" applyAlignment="1">
      <alignment horizontal="left" vertical="center"/>
    </xf>
    <xf numFmtId="164" fontId="17" fillId="0" borderId="4" xfId="2" applyFont="1" applyFill="1" applyBorder="1" applyAlignment="1">
      <alignment horizontal="left" vertical="center"/>
    </xf>
    <xf numFmtId="164" fontId="17" fillId="0" borderId="4" xfId="2" applyFont="1" applyFill="1" applyBorder="1" applyAlignment="1">
      <alignment vertical="center"/>
    </xf>
    <xf numFmtId="164" fontId="17" fillId="0" borderId="5" xfId="2" applyFont="1" applyFill="1" applyBorder="1" applyAlignment="1">
      <alignment vertical="center"/>
    </xf>
    <xf numFmtId="164" fontId="7" fillId="0" borderId="1" xfId="2" applyFont="1" applyFill="1" applyBorder="1" applyAlignment="1">
      <alignment horizontal="left" vertical="center"/>
    </xf>
    <xf numFmtId="164" fontId="7" fillId="0" borderId="0" xfId="2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7" fillId="0" borderId="0" xfId="2" applyFont="1" applyFill="1" applyBorder="1" applyAlignment="1">
      <alignment horizontal="left" vertical="center"/>
    </xf>
    <xf numFmtId="164" fontId="7" fillId="0" borderId="2" xfId="2" applyFont="1" applyFill="1" applyBorder="1" applyAlignment="1">
      <alignment horizontal="center" vertical="center"/>
    </xf>
    <xf numFmtId="164" fontId="10" fillId="3" borderId="15" xfId="2" applyFont="1" applyFill="1" applyBorder="1" applyAlignment="1">
      <alignment vertical="center"/>
    </xf>
    <xf numFmtId="164" fontId="10" fillId="3" borderId="16" xfId="2" applyFont="1" applyFill="1" applyBorder="1" applyAlignment="1">
      <alignment vertical="center"/>
    </xf>
    <xf numFmtId="164" fontId="10" fillId="3" borderId="15" xfId="2" applyFont="1" applyFill="1" applyBorder="1" applyAlignment="1">
      <alignment horizontal="right" vertical="center"/>
    </xf>
    <xf numFmtId="164" fontId="10" fillId="4" borderId="15" xfId="2" applyFont="1" applyFill="1" applyBorder="1" applyAlignment="1">
      <alignment vertical="center"/>
    </xf>
    <xf numFmtId="164" fontId="10" fillId="4" borderId="16" xfId="2" applyFont="1" applyFill="1" applyBorder="1" applyAlignment="1">
      <alignment vertical="center"/>
    </xf>
    <xf numFmtId="164" fontId="10" fillId="4" borderId="15" xfId="2" applyFont="1" applyFill="1" applyBorder="1" applyAlignment="1">
      <alignment horizontal="right" vertical="center"/>
    </xf>
    <xf numFmtId="164" fontId="9" fillId="4" borderId="15" xfId="2" applyFont="1" applyFill="1" applyBorder="1" applyAlignment="1">
      <alignment horizontal="right" vertical="center"/>
    </xf>
    <xf numFmtId="164" fontId="12" fillId="0" borderId="16" xfId="2" applyFont="1" applyFill="1" applyBorder="1" applyAlignment="1">
      <alignment vertical="center"/>
    </xf>
    <xf numFmtId="164" fontId="0" fillId="0" borderId="0" xfId="2" applyFont="1" applyFill="1" applyAlignment="1"/>
    <xf numFmtId="164" fontId="12" fillId="4" borderId="15" xfId="2" applyFont="1" applyFill="1" applyBorder="1" applyAlignment="1">
      <alignment vertical="center"/>
    </xf>
    <xf numFmtId="0" fontId="11" fillId="4" borderId="17" xfId="2" applyNumberFormat="1" applyFont="1" applyFill="1" applyBorder="1" applyAlignment="1">
      <alignment vertical="center"/>
    </xf>
    <xf numFmtId="164" fontId="7" fillId="4" borderId="15" xfId="2" applyFont="1" applyFill="1" applyBorder="1" applyAlignment="1">
      <alignment horizontal="right" vertical="center"/>
    </xf>
    <xf numFmtId="164" fontId="14" fillId="0" borderId="15" xfId="2" applyFont="1" applyFill="1" applyBorder="1" applyAlignment="1">
      <alignment horizontal="right" vertical="center"/>
    </xf>
    <xf numFmtId="164" fontId="9" fillId="0" borderId="15" xfId="2" applyFont="1" applyFill="1" applyBorder="1" applyAlignment="1">
      <alignment vertical="center"/>
    </xf>
    <xf numFmtId="166" fontId="7" fillId="0" borderId="6" xfId="2" applyNumberFormat="1" applyFont="1" applyFill="1" applyBorder="1" applyAlignment="1" applyProtection="1">
      <alignment horizontal="right" vertical="center"/>
      <protection locked="0"/>
    </xf>
    <xf numFmtId="164" fontId="7" fillId="0" borderId="6" xfId="2" applyFont="1" applyFill="1" applyBorder="1" applyAlignment="1">
      <alignment horizontal="right" vertical="center"/>
    </xf>
    <xf numFmtId="164" fontId="9" fillId="0" borderId="1" xfId="2" applyFont="1" applyFill="1" applyBorder="1" applyAlignment="1">
      <alignment vertical="center"/>
    </xf>
    <xf numFmtId="164" fontId="9" fillId="0" borderId="0" xfId="2" applyFont="1" applyFill="1" applyBorder="1" applyAlignment="1">
      <alignment vertical="center"/>
    </xf>
    <xf numFmtId="164" fontId="15" fillId="0" borderId="0" xfId="2" applyFont="1" applyFill="1" applyBorder="1" applyAlignment="1">
      <alignment horizontal="right" vertical="center"/>
    </xf>
    <xf numFmtId="164" fontId="9" fillId="0" borderId="0" xfId="2" applyFont="1" applyFill="1" applyBorder="1" applyAlignment="1">
      <alignment horizontal="right" vertical="center"/>
    </xf>
    <xf numFmtId="166" fontId="9" fillId="0" borderId="0" xfId="2" applyNumberFormat="1" applyFont="1" applyFill="1" applyBorder="1" applyAlignment="1">
      <alignment horizontal="right" vertical="center"/>
    </xf>
    <xf numFmtId="164" fontId="9" fillId="0" borderId="26" xfId="2" applyFont="1" applyFill="1" applyBorder="1" applyAlignment="1">
      <alignment horizontal="right" vertical="center"/>
    </xf>
    <xf numFmtId="164" fontId="9" fillId="0" borderId="2" xfId="2" applyFont="1" applyFill="1" applyBorder="1" applyAlignment="1">
      <alignment horizontal="right" vertical="center"/>
    </xf>
    <xf numFmtId="164" fontId="0" fillId="0" borderId="0" xfId="2" applyFont="1" applyFill="1" applyBorder="1" applyAlignment="1">
      <alignment vertical="center"/>
    </xf>
    <xf numFmtId="164" fontId="7" fillId="0" borderId="0" xfId="2" applyFont="1" applyFill="1" applyBorder="1" applyAlignment="1">
      <alignment horizontal="right" vertical="center"/>
    </xf>
    <xf numFmtId="166" fontId="7" fillId="0" borderId="0" xfId="2" applyNumberFormat="1" applyFont="1" applyFill="1" applyBorder="1" applyAlignment="1">
      <alignment horizontal="right" vertical="center"/>
    </xf>
    <xf numFmtId="164" fontId="7" fillId="0" borderId="0" xfId="2" applyFont="1" applyFill="1" applyBorder="1" applyAlignment="1" applyProtection="1">
      <alignment horizontal="right" vertical="center"/>
      <protection locked="0"/>
    </xf>
    <xf numFmtId="164" fontId="9" fillId="0" borderId="26" xfId="2" applyFont="1" applyFill="1" applyBorder="1" applyAlignment="1" applyProtection="1">
      <alignment horizontal="right" vertical="center"/>
      <protection locked="0"/>
    </xf>
    <xf numFmtId="164" fontId="9" fillId="0" borderId="28" xfId="2" applyFont="1" applyFill="1" applyBorder="1" applyAlignment="1">
      <alignment vertical="center"/>
    </xf>
    <xf numFmtId="164" fontId="9" fillId="0" borderId="9" xfId="2" applyFont="1" applyFill="1" applyBorder="1" applyAlignment="1">
      <alignment vertical="center"/>
    </xf>
    <xf numFmtId="164" fontId="9" fillId="0" borderId="9" xfId="2" applyFont="1" applyFill="1" applyBorder="1" applyAlignment="1">
      <alignment horizontal="right" vertical="center"/>
    </xf>
    <xf numFmtId="166" fontId="7" fillId="0" borderId="9" xfId="2" applyNumberFormat="1" applyFont="1" applyFill="1" applyBorder="1" applyAlignment="1">
      <alignment horizontal="right" vertical="center"/>
    </xf>
    <xf numFmtId="164" fontId="0" fillId="0" borderId="9" xfId="2" applyFont="1" applyFill="1" applyBorder="1" applyAlignment="1">
      <alignment vertical="center"/>
    </xf>
    <xf numFmtId="164" fontId="9" fillId="0" borderId="10" xfId="2" applyFont="1" applyFill="1" applyBorder="1" applyAlignment="1">
      <alignment horizontal="right" vertical="center"/>
    </xf>
    <xf numFmtId="164" fontId="24" fillId="0" borderId="0" xfId="2" applyFont="1" applyFill="1" applyBorder="1" applyAlignment="1">
      <alignment vertical="center"/>
    </xf>
    <xf numFmtId="164" fontId="17" fillId="0" borderId="4" xfId="2" applyFont="1" applyFill="1" applyBorder="1" applyAlignment="1">
      <alignment horizontal="left"/>
    </xf>
    <xf numFmtId="0" fontId="10" fillId="0" borderId="15" xfId="2" applyNumberFormat="1" applyFont="1" applyFill="1" applyBorder="1" applyAlignment="1">
      <alignment horizontal="center" vertical="center"/>
    </xf>
    <xf numFmtId="0" fontId="10" fillId="0" borderId="16" xfId="2" applyNumberFormat="1" applyFont="1" applyFill="1" applyBorder="1" applyAlignment="1">
      <alignment horizontal="center" vertical="center"/>
    </xf>
    <xf numFmtId="164" fontId="10" fillId="0" borderId="16" xfId="2" applyFont="1" applyFill="1" applyBorder="1" applyAlignment="1">
      <alignment vertical="top"/>
    </xf>
    <xf numFmtId="0" fontId="11" fillId="0" borderId="17" xfId="2" applyNumberFormat="1" applyFont="1" applyFill="1" applyBorder="1" applyAlignment="1">
      <alignment horizontal="left" vertical="top" wrapText="1"/>
    </xf>
    <xf numFmtId="166" fontId="10" fillId="0" borderId="15" xfId="2" applyNumberFormat="1" applyFont="1" applyFill="1" applyBorder="1" applyAlignment="1">
      <alignment vertical="center"/>
    </xf>
    <xf numFmtId="166" fontId="10" fillId="0" borderId="15" xfId="2" applyNumberFormat="1" applyFont="1" applyFill="1" applyBorder="1" applyAlignment="1" applyProtection="1">
      <alignment vertical="center"/>
      <protection locked="0"/>
    </xf>
    <xf numFmtId="166" fontId="7" fillId="0" borderId="15" xfId="2" applyNumberFormat="1" applyFont="1" applyFill="1" applyBorder="1" applyAlignment="1">
      <alignment vertical="center"/>
    </xf>
    <xf numFmtId="0" fontId="10" fillId="0" borderId="15" xfId="2" applyNumberFormat="1" applyFont="1" applyFill="1" applyBorder="1" applyAlignment="1">
      <alignment horizontal="center" vertical="top"/>
    </xf>
    <xf numFmtId="0" fontId="10" fillId="0" borderId="16" xfId="2" applyNumberFormat="1" applyFont="1" applyFill="1" applyBorder="1" applyAlignment="1">
      <alignment horizontal="center" vertical="top"/>
    </xf>
    <xf numFmtId="0" fontId="10" fillId="0" borderId="16" xfId="2" quotePrefix="1" applyNumberFormat="1" applyFont="1" applyFill="1" applyBorder="1" applyAlignment="1">
      <alignment horizontal="center" vertical="top"/>
    </xf>
    <xf numFmtId="164" fontId="9" fillId="0" borderId="16" xfId="2" applyFont="1" applyFill="1" applyBorder="1" applyAlignment="1">
      <alignment vertical="top"/>
    </xf>
    <xf numFmtId="0" fontId="12" fillId="0" borderId="15" xfId="2" applyNumberFormat="1" applyFont="1" applyFill="1" applyBorder="1" applyAlignment="1">
      <alignment vertical="top"/>
    </xf>
    <xf numFmtId="0" fontId="12" fillId="0" borderId="16" xfId="2" applyNumberFormat="1" applyFont="1" applyFill="1" applyBorder="1" applyAlignment="1">
      <alignment vertical="top"/>
    </xf>
    <xf numFmtId="164" fontId="12" fillId="0" borderId="16" xfId="2" applyFont="1" applyFill="1" applyBorder="1" applyAlignment="1">
      <alignment vertical="top"/>
    </xf>
    <xf numFmtId="164" fontId="13" fillId="0" borderId="17" xfId="2" applyFont="1" applyFill="1" applyBorder="1" applyAlignment="1">
      <alignment vertical="top" wrapText="1"/>
    </xf>
    <xf numFmtId="166" fontId="9" fillId="0" borderId="30" xfId="2" applyNumberFormat="1" applyFont="1" applyFill="1" applyBorder="1" applyAlignment="1" applyProtection="1">
      <alignment vertical="center"/>
      <protection locked="0"/>
    </xf>
    <xf numFmtId="166" fontId="7" fillId="0" borderId="6" xfId="2" applyNumberFormat="1" applyFont="1" applyFill="1" applyBorder="1" applyAlignment="1" applyProtection="1">
      <alignment vertical="center"/>
      <protection locked="0"/>
    </xf>
    <xf numFmtId="164" fontId="23" fillId="0" borderId="0" xfId="2" applyFont="1" applyFill="1" applyBorder="1"/>
    <xf numFmtId="164" fontId="9" fillId="0" borderId="9" xfId="2" applyFont="1" applyFill="1" applyBorder="1" applyAlignment="1"/>
    <xf numFmtId="164" fontId="9" fillId="0" borderId="34" xfId="2" applyFont="1" applyFill="1" applyBorder="1" applyAlignment="1">
      <alignment horizontal="right" vertical="center"/>
    </xf>
    <xf numFmtId="164" fontId="9" fillId="0" borderId="29" xfId="2" applyFont="1" applyFill="1" applyBorder="1" applyAlignment="1">
      <alignment horizontal="right" vertical="center"/>
    </xf>
    <xf numFmtId="164" fontId="24" fillId="0" borderId="0" xfId="2" applyFont="1" applyFill="1" applyBorder="1"/>
    <xf numFmtId="39" fontId="9" fillId="0" borderId="15" xfId="2" applyNumberFormat="1" applyFont="1" applyFill="1" applyBorder="1" applyAlignment="1" applyProtection="1">
      <alignment vertical="center"/>
      <protection locked="0"/>
    </xf>
    <xf numFmtId="39" fontId="9" fillId="0" borderId="15" xfId="5" applyNumberFormat="1" applyFont="1" applyFill="1" applyBorder="1" applyAlignment="1">
      <alignment horizontal="right" vertical="center"/>
    </xf>
    <xf numFmtId="39" fontId="9" fillId="0" borderId="15" xfId="5" applyNumberFormat="1" applyFont="1" applyFill="1" applyBorder="1" applyAlignment="1">
      <alignment horizontal="right"/>
    </xf>
    <xf numFmtId="164" fontId="9" fillId="0" borderId="0" xfId="2" applyFont="1" applyFill="1" applyBorder="1" applyAlignment="1" applyProtection="1">
      <alignment vertical="center"/>
      <protection locked="0"/>
    </xf>
    <xf numFmtId="164" fontId="8" fillId="0" borderId="8" xfId="2" applyFont="1" applyFill="1" applyBorder="1" applyAlignment="1" applyProtection="1">
      <alignment horizontal="center" vertical="center" wrapText="1"/>
      <protection locked="0"/>
    </xf>
    <xf numFmtId="39" fontId="9" fillId="6" borderId="15" xfId="5" applyNumberFormat="1" applyFont="1" applyFill="1" applyBorder="1" applyAlignment="1">
      <alignment horizontal="right"/>
    </xf>
    <xf numFmtId="164" fontId="0" fillId="0" borderId="0" xfId="0" applyNumberFormat="1"/>
    <xf numFmtId="164" fontId="25" fillId="0" borderId="4" xfId="2" applyFont="1" applyFill="1" applyBorder="1" applyAlignment="1">
      <alignment vertical="center"/>
    </xf>
    <xf numFmtId="164" fontId="26" fillId="0" borderId="0" xfId="2" applyFont="1" applyFill="1" applyBorder="1" applyAlignment="1">
      <alignment vertical="center"/>
    </xf>
    <xf numFmtId="164" fontId="25" fillId="0" borderId="0" xfId="2" applyFont="1" applyFill="1" applyBorder="1" applyAlignment="1">
      <alignment vertical="center"/>
    </xf>
    <xf numFmtId="164" fontId="26" fillId="0" borderId="9" xfId="2" applyFont="1" applyFill="1" applyBorder="1" applyAlignment="1">
      <alignment vertical="center"/>
    </xf>
    <xf numFmtId="164" fontId="9" fillId="0" borderId="0" xfId="2" applyFont="1" applyFill="1" applyAlignment="1">
      <alignment horizontal="right"/>
    </xf>
    <xf numFmtId="164" fontId="26" fillId="0" borderId="0" xfId="2" applyFont="1" applyFill="1"/>
    <xf numFmtId="164" fontId="27" fillId="0" borderId="0" xfId="2" applyFont="1" applyFill="1" applyAlignment="1"/>
    <xf numFmtId="164" fontId="27" fillId="0" borderId="0" xfId="2" applyFont="1" applyFill="1" applyAlignment="1">
      <alignment vertical="center"/>
    </xf>
    <xf numFmtId="164" fontId="27" fillId="0" borderId="0" xfId="2" applyFont="1" applyFill="1" applyAlignment="1">
      <alignment horizontal="center" vertical="center"/>
    </xf>
    <xf numFmtId="164" fontId="27" fillId="0" borderId="0" xfId="2" applyFont="1" applyFill="1" applyAlignment="1">
      <alignment horizontal="center" vertical="center" wrapText="1"/>
    </xf>
    <xf numFmtId="164" fontId="27" fillId="0" borderId="0" xfId="0" applyNumberFormat="1" applyFont="1"/>
    <xf numFmtId="164" fontId="27" fillId="0" borderId="0" xfId="2" applyFont="1" applyFill="1"/>
    <xf numFmtId="164" fontId="27" fillId="0" borderId="0" xfId="2" applyFont="1" applyFill="1" applyAlignment="1">
      <alignment horizontal="center"/>
    </xf>
    <xf numFmtId="164" fontId="27" fillId="7" borderId="0" xfId="2" applyFont="1" applyFill="1" applyAlignment="1">
      <alignment vertical="center"/>
    </xf>
    <xf numFmtId="164" fontId="27" fillId="7" borderId="0" xfId="2" applyFont="1" applyFill="1" applyAlignment="1"/>
    <xf numFmtId="164" fontId="27" fillId="7" borderId="0" xfId="2" applyFont="1" applyFill="1"/>
    <xf numFmtId="164" fontId="27" fillId="7" borderId="0" xfId="2" applyFont="1" applyFill="1" applyAlignment="1">
      <alignment horizontal="center" vertical="center" wrapText="1"/>
    </xf>
    <xf numFmtId="164" fontId="27" fillId="7" borderId="0" xfId="0" applyNumberFormat="1" applyFont="1" applyFill="1"/>
    <xf numFmtId="0" fontId="27" fillId="0" borderId="0" xfId="0" applyFont="1"/>
    <xf numFmtId="164" fontId="6" fillId="0" borderId="4" xfId="2" applyFont="1" applyFill="1" applyBorder="1" applyAlignment="1">
      <alignment vertical="center"/>
    </xf>
    <xf numFmtId="164" fontId="29" fillId="0" borderId="0" xfId="2" applyFont="1" applyFill="1" applyBorder="1" applyAlignment="1">
      <alignment vertical="center"/>
    </xf>
    <xf numFmtId="0" fontId="30" fillId="3" borderId="17" xfId="2" applyNumberFormat="1" applyFont="1" applyFill="1" applyBorder="1" applyAlignment="1">
      <alignment horizontal="left" vertical="center" wrapText="1"/>
    </xf>
    <xf numFmtId="0" fontId="30" fillId="4" borderId="17" xfId="2" applyNumberFormat="1" applyFont="1" applyFill="1" applyBorder="1" applyAlignment="1">
      <alignment horizontal="left" vertical="center" wrapText="1"/>
    </xf>
    <xf numFmtId="0" fontId="31" fillId="0" borderId="17" xfId="2" applyNumberFormat="1" applyFont="1" applyFill="1" applyBorder="1" applyAlignment="1">
      <alignment horizontal="left" vertical="center" wrapText="1"/>
    </xf>
    <xf numFmtId="0" fontId="31" fillId="0" borderId="17" xfId="2" applyNumberFormat="1" applyFont="1" applyFill="1" applyBorder="1" applyAlignment="1">
      <alignment vertical="center" wrapText="1"/>
    </xf>
    <xf numFmtId="0" fontId="30" fillId="4" borderId="17" xfId="2" applyNumberFormat="1" applyFont="1" applyFill="1" applyBorder="1" applyAlignment="1">
      <alignment vertical="center"/>
    </xf>
    <xf numFmtId="164" fontId="32" fillId="0" borderId="0" xfId="2" applyFont="1" applyFill="1" applyBorder="1" applyAlignment="1">
      <alignment vertical="center"/>
    </xf>
    <xf numFmtId="164" fontId="27" fillId="0" borderId="0" xfId="2" applyFont="1" applyFill="1" applyBorder="1" applyAlignment="1">
      <alignment vertical="center"/>
    </xf>
    <xf numFmtId="164" fontId="32" fillId="0" borderId="9" xfId="2" applyFont="1" applyFill="1" applyBorder="1" applyAlignment="1">
      <alignment vertical="center"/>
    </xf>
    <xf numFmtId="164" fontId="6" fillId="0" borderId="0" xfId="2" applyFont="1" applyFill="1"/>
    <xf numFmtId="166" fontId="10" fillId="3" borderId="17" xfId="2" applyNumberFormat="1" applyFont="1" applyFill="1" applyBorder="1" applyAlignment="1" applyProtection="1">
      <alignment vertical="center"/>
      <protection locked="0"/>
    </xf>
    <xf numFmtId="166" fontId="10" fillId="4" borderId="17" xfId="2" applyNumberFormat="1" applyFont="1" applyFill="1" applyBorder="1" applyAlignment="1" applyProtection="1">
      <alignment vertical="center"/>
      <protection locked="0"/>
    </xf>
    <xf numFmtId="164" fontId="9" fillId="0" borderId="17" xfId="2" applyFont="1" applyFill="1" applyBorder="1" applyAlignment="1" applyProtection="1">
      <alignment vertical="center"/>
      <protection locked="0"/>
    </xf>
    <xf numFmtId="166" fontId="10" fillId="3" borderId="0" xfId="2" applyNumberFormat="1" applyFont="1" applyFill="1" applyBorder="1" applyAlignment="1" applyProtection="1">
      <alignment vertical="center"/>
      <protection locked="0"/>
    </xf>
    <xf numFmtId="166" fontId="10" fillId="4" borderId="0" xfId="2" applyNumberFormat="1" applyFont="1" applyFill="1" applyBorder="1" applyAlignment="1" applyProtection="1">
      <alignment vertical="center"/>
      <protection locked="0"/>
    </xf>
    <xf numFmtId="165" fontId="10" fillId="3" borderId="15" xfId="2" applyNumberFormat="1" applyFont="1" applyFill="1" applyBorder="1" applyAlignment="1" applyProtection="1">
      <alignment vertical="center"/>
      <protection locked="0"/>
    </xf>
    <xf numFmtId="164" fontId="8" fillId="5" borderId="0" xfId="2" applyFont="1" applyFill="1" applyBorder="1" applyAlignment="1">
      <alignment horizontal="center" vertical="center"/>
    </xf>
    <xf numFmtId="165" fontId="10" fillId="3" borderId="0" xfId="2" applyNumberFormat="1" applyFont="1" applyFill="1" applyBorder="1" applyAlignment="1" applyProtection="1">
      <alignment vertical="center"/>
      <protection locked="0"/>
    </xf>
    <xf numFmtId="164" fontId="10" fillId="0" borderId="15" xfId="2" applyFont="1" applyFill="1" applyBorder="1" applyAlignment="1">
      <alignment vertical="center"/>
    </xf>
    <xf numFmtId="164" fontId="9" fillId="8" borderId="15" xfId="2" applyFont="1" applyFill="1" applyBorder="1" applyAlignment="1" applyProtection="1">
      <alignment vertical="center"/>
      <protection locked="0"/>
    </xf>
    <xf numFmtId="164" fontId="9" fillId="9" borderId="15" xfId="2" applyFont="1" applyFill="1" applyBorder="1" applyAlignment="1" applyProtection="1">
      <alignment vertical="center"/>
      <protection locked="0"/>
    </xf>
    <xf numFmtId="164" fontId="9" fillId="10" borderId="15" xfId="2" applyFont="1" applyFill="1" applyBorder="1" applyAlignment="1" applyProtection="1">
      <alignment vertical="center"/>
      <protection locked="0"/>
    </xf>
    <xf numFmtId="164" fontId="9" fillId="11" borderId="15" xfId="2" applyFont="1" applyFill="1" applyBorder="1" applyAlignment="1" applyProtection="1">
      <alignment vertical="center"/>
      <protection locked="0"/>
    </xf>
    <xf numFmtId="164" fontId="9" fillId="2" borderId="15" xfId="2" applyFont="1" applyFill="1" applyBorder="1" applyAlignment="1" applyProtection="1">
      <alignment vertical="center"/>
      <protection locked="0"/>
    </xf>
    <xf numFmtId="164" fontId="9" fillId="12" borderId="15" xfId="2" applyFont="1" applyFill="1" applyBorder="1" applyAlignment="1" applyProtection="1">
      <alignment vertical="center"/>
      <protection locked="0"/>
    </xf>
    <xf numFmtId="164" fontId="9" fillId="5" borderId="15" xfId="2" applyFont="1" applyFill="1" applyBorder="1" applyAlignment="1" applyProtection="1">
      <alignment vertical="center"/>
      <protection locked="0"/>
    </xf>
    <xf numFmtId="164" fontId="28" fillId="0" borderId="0" xfId="2" applyFont="1" applyFill="1" applyAlignment="1"/>
    <xf numFmtId="164" fontId="27" fillId="7" borderId="0" xfId="2" applyFont="1" applyFill="1" applyAlignment="1">
      <alignment horizontal="center"/>
    </xf>
    <xf numFmtId="164" fontId="13" fillId="0" borderId="16" xfId="2" applyFont="1" applyFill="1" applyBorder="1" applyAlignment="1">
      <alignment horizontal="left" vertical="top" wrapText="1"/>
    </xf>
    <xf numFmtId="164" fontId="13" fillId="0" borderId="17" xfId="2" applyFont="1" applyFill="1" applyBorder="1" applyAlignment="1">
      <alignment horizontal="left" vertical="top" wrapText="1"/>
    </xf>
    <xf numFmtId="164" fontId="13" fillId="0" borderId="18" xfId="2" applyFont="1" applyFill="1" applyBorder="1" applyAlignment="1">
      <alignment horizontal="left" vertical="top" wrapText="1"/>
    </xf>
    <xf numFmtId="164" fontId="8" fillId="0" borderId="3" xfId="2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 wrapText="1"/>
    </xf>
    <xf numFmtId="164" fontId="8" fillId="0" borderId="6" xfId="2" applyFont="1" applyFill="1" applyBorder="1" applyAlignment="1">
      <alignment horizontal="center" vertical="center" wrapText="1"/>
    </xf>
    <xf numFmtId="164" fontId="11" fillId="2" borderId="16" xfId="2" applyFont="1" applyFill="1" applyBorder="1" applyAlignment="1">
      <alignment horizontal="left" vertical="top" wrapText="1"/>
    </xf>
    <xf numFmtId="164" fontId="11" fillId="2" borderId="17" xfId="2" applyFont="1" applyFill="1" applyBorder="1" applyAlignment="1">
      <alignment horizontal="left" vertical="top" wrapText="1"/>
    </xf>
    <xf numFmtId="164" fontId="11" fillId="2" borderId="18" xfId="2" applyFont="1" applyFill="1" applyBorder="1" applyAlignment="1">
      <alignment horizontal="left" vertical="top" wrapText="1"/>
    </xf>
    <xf numFmtId="164" fontId="16" fillId="0" borderId="27" xfId="2" applyFont="1" applyFill="1" applyBorder="1" applyAlignment="1">
      <alignment horizontal="center"/>
    </xf>
    <xf numFmtId="164" fontId="16" fillId="0" borderId="4" xfId="2" applyFont="1" applyFill="1" applyBorder="1" applyAlignment="1">
      <alignment horizontal="center"/>
    </xf>
    <xf numFmtId="164" fontId="16" fillId="0" borderId="5" xfId="2" applyFont="1" applyFill="1" applyBorder="1" applyAlignment="1">
      <alignment horizontal="center"/>
    </xf>
    <xf numFmtId="164" fontId="16" fillId="0" borderId="28" xfId="2" applyFont="1" applyFill="1" applyBorder="1" applyAlignment="1">
      <alignment horizontal="center"/>
    </xf>
    <xf numFmtId="164" fontId="16" fillId="0" borderId="9" xfId="2" applyFont="1" applyFill="1" applyBorder="1" applyAlignment="1">
      <alignment horizontal="center"/>
    </xf>
    <xf numFmtId="164" fontId="16" fillId="0" borderId="10" xfId="2" applyFont="1" applyFill="1" applyBorder="1" applyAlignment="1">
      <alignment horizontal="center"/>
    </xf>
    <xf numFmtId="164" fontId="8" fillId="0" borderId="3" xfId="2" applyFont="1" applyFill="1" applyBorder="1" applyAlignment="1">
      <alignment horizontal="center" vertical="center"/>
    </xf>
    <xf numFmtId="164" fontId="8" fillId="0" borderId="7" xfId="2" applyFont="1" applyFill="1" applyBorder="1" applyAlignment="1">
      <alignment horizontal="center" vertical="center"/>
    </xf>
    <xf numFmtId="164" fontId="8" fillId="0" borderId="8" xfId="2" applyFont="1" applyFill="1" applyBorder="1" applyAlignment="1">
      <alignment horizontal="center" vertical="center"/>
    </xf>
    <xf numFmtId="164" fontId="8" fillId="0" borderId="4" xfId="2" applyFont="1" applyFill="1" applyBorder="1" applyAlignment="1">
      <alignment horizontal="center" vertical="center"/>
    </xf>
    <xf numFmtId="164" fontId="8" fillId="0" borderId="5" xfId="2" applyFont="1" applyFill="1" applyBorder="1" applyAlignment="1">
      <alignment horizontal="center" vertical="center"/>
    </xf>
    <xf numFmtId="164" fontId="8" fillId="0" borderId="0" xfId="2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center" vertical="center"/>
    </xf>
    <xf numFmtId="164" fontId="8" fillId="0" borderId="9" xfId="2" applyFont="1" applyFill="1" applyBorder="1" applyAlignment="1">
      <alignment horizontal="center" vertical="center"/>
    </xf>
    <xf numFmtId="164" fontId="8" fillId="0" borderId="10" xfId="2" applyFont="1" applyFill="1" applyBorder="1" applyAlignment="1">
      <alignment horizontal="center" vertical="center"/>
    </xf>
    <xf numFmtId="164" fontId="8" fillId="0" borderId="3" xfId="2" applyFont="1" applyFill="1" applyBorder="1" applyAlignment="1" applyProtection="1">
      <alignment horizontal="center" vertical="center" wrapText="1"/>
      <protection locked="0"/>
    </xf>
    <xf numFmtId="164" fontId="8" fillId="0" borderId="7" xfId="2" applyFont="1" applyFill="1" applyBorder="1" applyAlignment="1" applyProtection="1">
      <alignment horizontal="center" vertical="center" wrapText="1"/>
      <protection locked="0"/>
    </xf>
    <xf numFmtId="164" fontId="8" fillId="0" borderId="8" xfId="2" applyFont="1" applyFill="1" applyBorder="1" applyAlignment="1" applyProtection="1">
      <alignment horizontal="center" vertical="center" wrapText="1"/>
      <protection locked="0"/>
    </xf>
    <xf numFmtId="164" fontId="8" fillId="0" borderId="6" xfId="2" applyFont="1" applyFill="1" applyBorder="1" applyAlignment="1">
      <alignment horizontal="center" vertical="center"/>
    </xf>
    <xf numFmtId="164" fontId="7" fillId="0" borderId="23" xfId="2" applyFont="1" applyFill="1" applyBorder="1" applyAlignment="1">
      <alignment horizontal="center"/>
    </xf>
    <xf numFmtId="164" fontId="7" fillId="0" borderId="24" xfId="2" applyFont="1" applyFill="1" applyBorder="1" applyAlignment="1">
      <alignment horizontal="center"/>
    </xf>
    <xf numFmtId="164" fontId="7" fillId="0" borderId="25" xfId="2" applyFont="1" applyFill="1" applyBorder="1" applyAlignment="1">
      <alignment horizontal="center"/>
    </xf>
    <xf numFmtId="164" fontId="7" fillId="0" borderId="0" xfId="2" applyFont="1" applyFill="1" applyBorder="1" applyAlignment="1" applyProtection="1">
      <alignment horizontal="center"/>
      <protection locked="0"/>
    </xf>
    <xf numFmtId="164" fontId="18" fillId="0" borderId="0" xfId="2" applyFont="1" applyFill="1" applyBorder="1" applyAlignment="1" applyProtection="1">
      <alignment horizontal="center"/>
      <protection locked="0"/>
    </xf>
    <xf numFmtId="164" fontId="7" fillId="0" borderId="9" xfId="2" applyFont="1" applyFill="1" applyBorder="1" applyAlignment="1" applyProtection="1">
      <alignment horizontal="center"/>
      <protection locked="0"/>
    </xf>
    <xf numFmtId="164" fontId="7" fillId="0" borderId="0" xfId="2" applyFont="1" applyFill="1" applyBorder="1" applyAlignment="1">
      <alignment horizontal="center"/>
    </xf>
    <xf numFmtId="164" fontId="18" fillId="0" borderId="0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center"/>
    </xf>
    <xf numFmtId="0" fontId="13" fillId="0" borderId="16" xfId="4" applyFont="1" applyBorder="1" applyAlignment="1">
      <alignment horizontal="left" vertical="top" wrapText="1"/>
    </xf>
    <xf numFmtId="0" fontId="13" fillId="0" borderId="17" xfId="4" applyFont="1" applyBorder="1" applyAlignment="1">
      <alignment horizontal="left" vertical="top" wrapText="1"/>
    </xf>
    <xf numFmtId="0" fontId="13" fillId="0" borderId="18" xfId="4" applyFont="1" applyBorder="1" applyAlignment="1">
      <alignment horizontal="left" vertical="top" wrapText="1"/>
    </xf>
    <xf numFmtId="165" fontId="16" fillId="0" borderId="27" xfId="7" applyFont="1" applyFill="1" applyBorder="1" applyAlignment="1">
      <alignment horizontal="center"/>
    </xf>
    <xf numFmtId="165" fontId="16" fillId="0" borderId="4" xfId="7" applyFont="1" applyFill="1" applyBorder="1" applyAlignment="1">
      <alignment horizontal="center"/>
    </xf>
    <xf numFmtId="165" fontId="16" fillId="0" borderId="5" xfId="7" applyFont="1" applyFill="1" applyBorder="1" applyAlignment="1">
      <alignment horizontal="center"/>
    </xf>
    <xf numFmtId="165" fontId="16" fillId="0" borderId="28" xfId="7" applyFont="1" applyFill="1" applyBorder="1" applyAlignment="1">
      <alignment horizontal="center"/>
    </xf>
    <xf numFmtId="165" fontId="16" fillId="0" borderId="9" xfId="7" applyFont="1" applyFill="1" applyBorder="1" applyAlignment="1">
      <alignment horizontal="center"/>
    </xf>
    <xf numFmtId="165" fontId="16" fillId="0" borderId="10" xfId="7" applyFont="1" applyFill="1" applyBorder="1" applyAlignment="1">
      <alignment horizontal="center"/>
    </xf>
    <xf numFmtId="0" fontId="8" fillId="0" borderId="3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166" fontId="8" fillId="0" borderId="3" xfId="5" applyNumberFormat="1" applyFont="1" applyFill="1" applyBorder="1" applyAlignment="1">
      <alignment horizontal="center" vertical="center" wrapText="1"/>
    </xf>
    <xf numFmtId="166" fontId="8" fillId="0" borderId="7" xfId="5" applyNumberFormat="1" applyFont="1" applyFill="1" applyBorder="1" applyAlignment="1">
      <alignment horizontal="center" vertical="center" wrapText="1"/>
    </xf>
    <xf numFmtId="166" fontId="8" fillId="0" borderId="8" xfId="5" applyNumberFormat="1" applyFont="1" applyFill="1" applyBorder="1" applyAlignment="1">
      <alignment horizontal="center" vertical="center" wrapText="1"/>
    </xf>
    <xf numFmtId="166" fontId="8" fillId="0" borderId="6" xfId="5" applyNumberFormat="1" applyFont="1" applyFill="1" applyBorder="1" applyAlignment="1">
      <alignment horizontal="center" vertical="center" wrapText="1"/>
    </xf>
    <xf numFmtId="166" fontId="8" fillId="0" borderId="3" xfId="5" applyNumberFormat="1" applyFont="1" applyFill="1" applyBorder="1" applyAlignment="1">
      <alignment horizontal="center" vertical="center"/>
    </xf>
    <xf numFmtId="166" fontId="8" fillId="0" borderId="7" xfId="5" applyNumberFormat="1" applyFont="1" applyFill="1" applyBorder="1" applyAlignment="1">
      <alignment horizontal="center" vertical="center"/>
    </xf>
    <xf numFmtId="166" fontId="8" fillId="0" borderId="8" xfId="5" applyNumberFormat="1" applyFont="1" applyFill="1" applyBorder="1" applyAlignment="1">
      <alignment horizontal="center" vertical="center"/>
    </xf>
    <xf numFmtId="166" fontId="8" fillId="0" borderId="6" xfId="5" applyNumberFormat="1" applyFont="1" applyFill="1" applyBorder="1" applyAlignment="1">
      <alignment horizontal="center" vertical="center"/>
    </xf>
    <xf numFmtId="0" fontId="11" fillId="0" borderId="16" xfId="4" applyFont="1" applyBorder="1" applyAlignment="1">
      <alignment horizontal="left" vertical="top" wrapText="1"/>
    </xf>
    <xf numFmtId="0" fontId="11" fillId="0" borderId="17" xfId="4" applyFont="1" applyBorder="1" applyAlignment="1">
      <alignment horizontal="left" vertical="top" wrapText="1"/>
    </xf>
    <xf numFmtId="0" fontId="11" fillId="0" borderId="18" xfId="4" applyFont="1" applyBorder="1" applyAlignment="1">
      <alignment horizontal="left" vertical="top" wrapText="1"/>
    </xf>
    <xf numFmtId="166" fontId="7" fillId="0" borderId="0" xfId="5" applyNumberFormat="1" applyFont="1" applyFill="1" applyBorder="1" applyAlignment="1">
      <alignment horizontal="center"/>
    </xf>
    <xf numFmtId="166" fontId="18" fillId="0" borderId="0" xfId="8" applyNumberFormat="1" applyFont="1" applyFill="1" applyBorder="1" applyAlignment="1">
      <alignment horizontal="center"/>
    </xf>
    <xf numFmtId="166" fontId="7" fillId="0" borderId="9" xfId="8" applyNumberFormat="1" applyFont="1" applyFill="1" applyBorder="1" applyAlignment="1">
      <alignment horizontal="center"/>
    </xf>
    <xf numFmtId="0" fontId="7" fillId="0" borderId="23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166" fontId="7" fillId="0" borderId="0" xfId="5" applyNumberFormat="1" applyFont="1" applyFill="1" applyBorder="1" applyAlignment="1">
      <alignment horizontal="left"/>
    </xf>
    <xf numFmtId="164" fontId="27" fillId="0" borderId="0" xfId="2" applyFont="1" applyFill="1" applyAlignment="1">
      <alignment horizontal="center" wrapText="1"/>
    </xf>
    <xf numFmtId="164" fontId="27" fillId="0" borderId="0" xfId="2" applyFont="1" applyFill="1" applyAlignment="1">
      <alignment horizontal="center"/>
    </xf>
    <xf numFmtId="164" fontId="7" fillId="0" borderId="9" xfId="2" applyFont="1" applyFill="1" applyBorder="1" applyAlignment="1" applyProtection="1">
      <alignment horizontal="center" vertical="center"/>
      <protection locked="0"/>
    </xf>
    <xf numFmtId="164" fontId="8" fillId="5" borderId="3" xfId="2" applyFont="1" applyFill="1" applyBorder="1" applyAlignment="1">
      <alignment horizontal="center" vertical="center" wrapText="1"/>
    </xf>
    <xf numFmtId="164" fontId="8" fillId="5" borderId="7" xfId="2" applyFont="1" applyFill="1" applyBorder="1" applyAlignment="1">
      <alignment horizontal="center" vertical="center" wrapText="1"/>
    </xf>
    <xf numFmtId="164" fontId="27" fillId="7" borderId="0" xfId="2" applyFont="1" applyFill="1" applyAlignment="1">
      <alignment horizontal="center" wrapText="1"/>
    </xf>
    <xf numFmtId="164" fontId="7" fillId="0" borderId="23" xfId="2" applyFont="1" applyFill="1" applyBorder="1" applyAlignment="1">
      <alignment horizontal="center" vertical="center"/>
    </xf>
    <xf numFmtId="164" fontId="7" fillId="0" borderId="24" xfId="2" applyFont="1" applyFill="1" applyBorder="1" applyAlignment="1">
      <alignment horizontal="center" vertical="center"/>
    </xf>
    <xf numFmtId="164" fontId="7" fillId="0" borderId="0" xfId="2" applyFont="1" applyFill="1" applyBorder="1" applyAlignment="1" applyProtection="1">
      <alignment horizontal="center" vertical="center"/>
      <protection locked="0"/>
    </xf>
    <xf numFmtId="164" fontId="18" fillId="0" borderId="0" xfId="2" applyFont="1" applyFill="1" applyBorder="1" applyAlignment="1" applyProtection="1">
      <alignment horizontal="center" vertical="center"/>
      <protection locked="0"/>
    </xf>
    <xf numFmtId="164" fontId="16" fillId="0" borderId="27" xfId="2" applyFont="1" applyFill="1" applyBorder="1" applyAlignment="1">
      <alignment horizontal="center" vertical="center"/>
    </xf>
    <xf numFmtId="164" fontId="16" fillId="0" borderId="4" xfId="2" applyFont="1" applyFill="1" applyBorder="1" applyAlignment="1">
      <alignment horizontal="center" vertical="center"/>
    </xf>
    <xf numFmtId="164" fontId="16" fillId="0" borderId="5" xfId="2" applyFont="1" applyFill="1" applyBorder="1" applyAlignment="1">
      <alignment horizontal="center" vertical="center"/>
    </xf>
    <xf numFmtId="164" fontId="16" fillId="0" borderId="28" xfId="2" applyFont="1" applyFill="1" applyBorder="1" applyAlignment="1">
      <alignment horizontal="center" vertical="center"/>
    </xf>
    <xf numFmtId="164" fontId="16" fillId="0" borderId="9" xfId="2" applyFont="1" applyFill="1" applyBorder="1" applyAlignment="1">
      <alignment horizontal="center" vertical="center"/>
    </xf>
    <xf numFmtId="164" fontId="16" fillId="0" borderId="10" xfId="2" applyFont="1" applyFill="1" applyBorder="1" applyAlignment="1">
      <alignment horizontal="center" vertical="center"/>
    </xf>
    <xf numFmtId="17" fontId="7" fillId="0" borderId="9" xfId="2" applyNumberFormat="1" applyFont="1" applyFill="1" applyBorder="1" applyAlignment="1" applyProtection="1">
      <alignment horizontal="left" vertical="center"/>
      <protection locked="0"/>
    </xf>
    <xf numFmtId="164" fontId="8" fillId="5" borderId="3" xfId="2" applyFont="1" applyFill="1" applyBorder="1" applyAlignment="1">
      <alignment horizontal="center" vertical="center"/>
    </xf>
    <xf numFmtId="164" fontId="8" fillId="5" borderId="7" xfId="2" applyFont="1" applyFill="1" applyBorder="1" applyAlignment="1">
      <alignment horizontal="center" vertical="center"/>
    </xf>
    <xf numFmtId="164" fontId="8" fillId="5" borderId="8" xfId="2" applyFont="1" applyFill="1" applyBorder="1" applyAlignment="1">
      <alignment horizontal="center" vertical="center"/>
    </xf>
    <xf numFmtId="164" fontId="8" fillId="5" borderId="27" xfId="2" applyFont="1" applyFill="1" applyBorder="1" applyAlignment="1">
      <alignment horizontal="center" vertical="center"/>
    </xf>
    <xf numFmtId="164" fontId="8" fillId="5" borderId="5" xfId="2" applyFont="1" applyFill="1" applyBorder="1" applyAlignment="1">
      <alignment horizontal="center" vertical="center"/>
    </xf>
    <xf numFmtId="164" fontId="8" fillId="5" borderId="1" xfId="2" applyFont="1" applyFill="1" applyBorder="1" applyAlignment="1">
      <alignment horizontal="center" vertical="center"/>
    </xf>
    <xf numFmtId="164" fontId="8" fillId="5" borderId="2" xfId="2" applyFont="1" applyFill="1" applyBorder="1" applyAlignment="1">
      <alignment horizontal="center" vertical="center"/>
    </xf>
    <xf numFmtId="164" fontId="8" fillId="5" borderId="28" xfId="2" applyFont="1" applyFill="1" applyBorder="1" applyAlignment="1">
      <alignment horizontal="center" vertical="center"/>
    </xf>
    <xf numFmtId="164" fontId="8" fillId="5" borderId="10" xfId="2" applyFont="1" applyFill="1" applyBorder="1" applyAlignment="1">
      <alignment horizontal="center" vertical="center"/>
    </xf>
    <xf numFmtId="164" fontId="8" fillId="5" borderId="3" xfId="2" applyFont="1" applyFill="1" applyBorder="1" applyAlignment="1" applyProtection="1">
      <alignment horizontal="center" vertical="center" wrapText="1"/>
      <protection locked="0"/>
    </xf>
    <xf numFmtId="164" fontId="8" fillId="5" borderId="7" xfId="2" applyFont="1" applyFill="1" applyBorder="1" applyAlignment="1" applyProtection="1">
      <alignment horizontal="center" vertical="center" wrapText="1"/>
      <protection locked="0"/>
    </xf>
    <xf numFmtId="164" fontId="8" fillId="5" borderId="8" xfId="2" applyFont="1" applyFill="1" applyBorder="1" applyAlignment="1">
      <alignment horizontal="center" vertical="center" wrapText="1"/>
    </xf>
    <xf numFmtId="164" fontId="8" fillId="5" borderId="6" xfId="2" applyFont="1" applyFill="1" applyBorder="1" applyAlignment="1">
      <alignment horizontal="center" vertical="center" wrapText="1"/>
    </xf>
    <xf numFmtId="164" fontId="8" fillId="5" borderId="27" xfId="2" applyFont="1" applyFill="1" applyBorder="1" applyAlignment="1">
      <alignment horizontal="center" vertical="center" wrapText="1"/>
    </xf>
    <xf numFmtId="164" fontId="8" fillId="5" borderId="5" xfId="2" applyFont="1" applyFill="1" applyBorder="1" applyAlignment="1">
      <alignment horizontal="center" vertical="center" wrapText="1"/>
    </xf>
    <xf numFmtId="164" fontId="8" fillId="5" borderId="28" xfId="2" applyFont="1" applyFill="1" applyBorder="1" applyAlignment="1">
      <alignment horizontal="center" vertical="center" wrapText="1"/>
    </xf>
    <xf numFmtId="164" fontId="8" fillId="5" borderId="10" xfId="2" applyFont="1" applyFill="1" applyBorder="1" applyAlignment="1">
      <alignment horizontal="center" vertical="center" wrapText="1"/>
    </xf>
    <xf numFmtId="164" fontId="8" fillId="5" borderId="4" xfId="2" applyFont="1" applyFill="1" applyBorder="1" applyAlignment="1">
      <alignment horizontal="center" vertical="center"/>
    </xf>
    <xf numFmtId="164" fontId="8" fillId="5" borderId="9" xfId="2" applyFont="1" applyFill="1" applyBorder="1" applyAlignment="1">
      <alignment horizontal="center" vertical="center"/>
    </xf>
    <xf numFmtId="17" fontId="7" fillId="0" borderId="9" xfId="2" applyNumberFormat="1" applyFont="1" applyFill="1" applyBorder="1" applyAlignment="1" applyProtection="1">
      <alignment horizontal="left"/>
      <protection locked="0"/>
    </xf>
    <xf numFmtId="164" fontId="8" fillId="0" borderId="27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164" fontId="8" fillId="0" borderId="28" xfId="2" applyFont="1" applyFill="1" applyBorder="1" applyAlignment="1">
      <alignment horizontal="center" vertical="center"/>
    </xf>
    <xf numFmtId="164" fontId="8" fillId="0" borderId="27" xfId="2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horizontal="center" vertical="center" wrapText="1"/>
    </xf>
    <xf numFmtId="164" fontId="8" fillId="0" borderId="28" xfId="2" applyFont="1" applyFill="1" applyBorder="1" applyAlignment="1">
      <alignment horizontal="center" vertical="center" wrapText="1"/>
    </xf>
    <xf numFmtId="164" fontId="8" fillId="0" borderId="10" xfId="2" applyFont="1" applyFill="1" applyBorder="1" applyAlignment="1">
      <alignment horizontal="center" vertical="center" wrapText="1"/>
    </xf>
  </cellXfs>
  <cellStyles count="1124">
    <cellStyle name="Comma" xfId="1" builtinId="3"/>
    <cellStyle name="Comma [0]" xfId="2" builtinId="6"/>
    <cellStyle name="Comma [0] 10" xfId="42" xr:uid="{00000000-0005-0000-0000-000002000000}"/>
    <cellStyle name="Comma [0] 11" xfId="47" xr:uid="{00000000-0005-0000-0000-000003000000}"/>
    <cellStyle name="Comma [0] 12" xfId="162" xr:uid="{00000000-0005-0000-0000-000004000000}"/>
    <cellStyle name="Comma [0] 13" xfId="170" xr:uid="{00000000-0005-0000-0000-000005000000}"/>
    <cellStyle name="Comma [0] 14" xfId="103" xr:uid="{00000000-0005-0000-0000-000006000000}"/>
    <cellStyle name="Comma [0] 15" xfId="104" xr:uid="{00000000-0005-0000-0000-000007000000}"/>
    <cellStyle name="Comma [0] 16" xfId="80" xr:uid="{00000000-0005-0000-0000-000008000000}"/>
    <cellStyle name="Comma [0] 17" xfId="164" xr:uid="{00000000-0005-0000-0000-000009000000}"/>
    <cellStyle name="Comma [0] 18" xfId="91" xr:uid="{00000000-0005-0000-0000-00000A000000}"/>
    <cellStyle name="Comma [0] 19" xfId="200" xr:uid="{00000000-0005-0000-0000-00000B000000}"/>
    <cellStyle name="Comma [0] 2" xfId="5" xr:uid="{00000000-0005-0000-0000-00000C000000}"/>
    <cellStyle name="Comma [0] 2 10" xfId="49" xr:uid="{00000000-0005-0000-0000-00000D000000}"/>
    <cellStyle name="Comma [0] 2 11" xfId="53" xr:uid="{00000000-0005-0000-0000-00000E000000}"/>
    <cellStyle name="Comma [0] 2 11 2" xfId="63" xr:uid="{00000000-0005-0000-0000-00000F000000}"/>
    <cellStyle name="Comma [0] 2 11 3" xfId="117" xr:uid="{00000000-0005-0000-0000-000010000000}"/>
    <cellStyle name="Comma [0] 2 12" xfId="68" xr:uid="{00000000-0005-0000-0000-000011000000}"/>
    <cellStyle name="Comma [0] 2 13" xfId="72" xr:uid="{00000000-0005-0000-0000-000012000000}"/>
    <cellStyle name="Comma [0] 2 14" xfId="89" xr:uid="{00000000-0005-0000-0000-000013000000}"/>
    <cellStyle name="Comma [0] 2 15" xfId="93" xr:uid="{00000000-0005-0000-0000-000014000000}"/>
    <cellStyle name="Comma [0] 2 16" xfId="95" xr:uid="{00000000-0005-0000-0000-000015000000}"/>
    <cellStyle name="Comma [0] 2 17" xfId="84" xr:uid="{00000000-0005-0000-0000-000016000000}"/>
    <cellStyle name="Comma [0] 2 18" xfId="106" xr:uid="{00000000-0005-0000-0000-000017000000}"/>
    <cellStyle name="Comma [0] 2 19" xfId="110" xr:uid="{00000000-0005-0000-0000-000018000000}"/>
    <cellStyle name="Comma [0] 2 2" xfId="9" xr:uid="{00000000-0005-0000-0000-000019000000}"/>
    <cellStyle name="Comma [0] 2 2 10" xfId="58" xr:uid="{00000000-0005-0000-0000-00001A000000}"/>
    <cellStyle name="Comma [0] 2 2 11" xfId="119" xr:uid="{00000000-0005-0000-0000-00001B000000}"/>
    <cellStyle name="Comma [0] 2 2 11 2" xfId="152" xr:uid="{00000000-0005-0000-0000-00001C000000}"/>
    <cellStyle name="Comma [0] 2 2 11 3" xfId="184" xr:uid="{00000000-0005-0000-0000-00001D000000}"/>
    <cellStyle name="Comma [0] 2 2 11 4" xfId="146" xr:uid="{00000000-0005-0000-0000-00001E000000}"/>
    <cellStyle name="Comma [0] 2 2 11 5" xfId="186" xr:uid="{00000000-0005-0000-0000-00001F000000}"/>
    <cellStyle name="Comma [0] 2 2 12" xfId="180" xr:uid="{00000000-0005-0000-0000-000020000000}"/>
    <cellStyle name="Comma [0] 2 2 13" xfId="181" xr:uid="{00000000-0005-0000-0000-000021000000}"/>
    <cellStyle name="Comma [0] 2 2 14" xfId="182" xr:uid="{00000000-0005-0000-0000-000022000000}"/>
    <cellStyle name="Comma [0] 2 2 15" xfId="131" xr:uid="{00000000-0005-0000-0000-000023000000}"/>
    <cellStyle name="Comma [0] 2 2 16" xfId="143" xr:uid="{00000000-0005-0000-0000-000024000000}"/>
    <cellStyle name="Comma [0] 2 2 17" xfId="187" xr:uid="{00000000-0005-0000-0000-000025000000}"/>
    <cellStyle name="Comma [0] 2 2 18" xfId="197" xr:uid="{00000000-0005-0000-0000-000026000000}"/>
    <cellStyle name="Comma [0] 2 2 18 2" xfId="222" xr:uid="{00000000-0005-0000-0000-000027000000}"/>
    <cellStyle name="Comma [0] 2 2 19" xfId="241" xr:uid="{00000000-0005-0000-0000-000028000000}"/>
    <cellStyle name="Comma [0] 2 2 2" xfId="11" xr:uid="{00000000-0005-0000-0000-000029000000}"/>
    <cellStyle name="Comma [0] 2 2 2 10" xfId="55" xr:uid="{00000000-0005-0000-0000-00002A000000}"/>
    <cellStyle name="Comma [0] 2 2 2 11" xfId="121" xr:uid="{00000000-0005-0000-0000-00002B000000}"/>
    <cellStyle name="Comma [0] 2 2 2 11 2" xfId="153" xr:uid="{00000000-0005-0000-0000-00002C000000}"/>
    <cellStyle name="Comma [0] 2 2 2 11 3" xfId="185" xr:uid="{00000000-0005-0000-0000-00002D000000}"/>
    <cellStyle name="Comma [0] 2 2 2 11 4" xfId="144" xr:uid="{00000000-0005-0000-0000-00002E000000}"/>
    <cellStyle name="Comma [0] 2 2 2 11 5" xfId="141" xr:uid="{00000000-0005-0000-0000-00002F000000}"/>
    <cellStyle name="Comma [0] 2 2 2 12" xfId="176" xr:uid="{00000000-0005-0000-0000-000030000000}"/>
    <cellStyle name="Comma [0] 2 2 2 13" xfId="174" xr:uid="{00000000-0005-0000-0000-000031000000}"/>
    <cellStyle name="Comma [0] 2 2 2 14" xfId="173" xr:uid="{00000000-0005-0000-0000-000032000000}"/>
    <cellStyle name="Comma [0] 2 2 2 15" xfId="125" xr:uid="{00000000-0005-0000-0000-000033000000}"/>
    <cellStyle name="Comma [0] 2 2 2 16" xfId="142" xr:uid="{00000000-0005-0000-0000-000034000000}"/>
    <cellStyle name="Comma [0] 2 2 2 17" xfId="183" xr:uid="{00000000-0005-0000-0000-000035000000}"/>
    <cellStyle name="Comma [0] 2 2 2 18" xfId="198" xr:uid="{00000000-0005-0000-0000-000036000000}"/>
    <cellStyle name="Comma [0] 2 2 2 18 2" xfId="224" xr:uid="{00000000-0005-0000-0000-000037000000}"/>
    <cellStyle name="Comma [0] 2 2 2 19" xfId="236" xr:uid="{00000000-0005-0000-0000-000038000000}"/>
    <cellStyle name="Comma [0] 2 2 2 2" xfId="56" xr:uid="{00000000-0005-0000-0000-000039000000}"/>
    <cellStyle name="Comma [0] 2 2 2 2 10" xfId="193" xr:uid="{00000000-0005-0000-0000-00003A000000}"/>
    <cellStyle name="Comma [0] 2 2 2 2 11" xfId="199" xr:uid="{00000000-0005-0000-0000-00003B000000}"/>
    <cellStyle name="Comma [0] 2 2 2 2 11 2" xfId="231" xr:uid="{00000000-0005-0000-0000-00003C000000}"/>
    <cellStyle name="Comma [0] 2 2 2 2 12" xfId="261" xr:uid="{00000000-0005-0000-0000-00003D000000}"/>
    <cellStyle name="Comma [0] 2 2 2 2 13" xfId="228" xr:uid="{00000000-0005-0000-0000-00003E000000}"/>
    <cellStyle name="Comma [0] 2 2 2 2 14" xfId="268" xr:uid="{00000000-0005-0000-0000-00003F000000}"/>
    <cellStyle name="Comma [0] 2 2 2 2 15" xfId="243" xr:uid="{00000000-0005-0000-0000-000040000000}"/>
    <cellStyle name="Comma [0] 2 2 2 2 16" xfId="263" xr:uid="{00000000-0005-0000-0000-000041000000}"/>
    <cellStyle name="Comma [0] 2 2 2 2 17" xfId="286" xr:uid="{00000000-0005-0000-0000-000042000000}"/>
    <cellStyle name="Comma [0] 2 2 2 2 17 2" xfId="448" xr:uid="{00000000-0005-0000-0000-000043000000}"/>
    <cellStyle name="Comma [0] 2 2 2 2 17 2 2" xfId="613" xr:uid="{00000000-0005-0000-0000-000044000000}"/>
    <cellStyle name="Comma [0] 2 2 2 2 17 2 2 2" xfId="639" xr:uid="{00000000-0005-0000-0000-000045000000}"/>
    <cellStyle name="Comma [0] 2 2 2 2 17 2 2 2 2" xfId="960" xr:uid="{00000000-0005-0000-0000-000046000000}"/>
    <cellStyle name="Comma [0] 2 2 2 2 17 2 2 2 2 2" xfId="974" xr:uid="{00000000-0005-0000-0000-000047000000}"/>
    <cellStyle name="Comma [0] 2 2 2 2 17 2 2 2 3" xfId="1058" xr:uid="{00000000-0005-0000-0000-000048000000}"/>
    <cellStyle name="Comma [0] 2 2 2 2 17 2 2 2 4" xfId="1106" xr:uid="{00000000-0005-0000-0000-000049000000}"/>
    <cellStyle name="Comma [0] 2 2 2 2 17 2 2 3" xfId="759" xr:uid="{00000000-0005-0000-0000-00004A000000}"/>
    <cellStyle name="Comma [0] 2 2 2 2 17 2 2 4" xfId="812" xr:uid="{00000000-0005-0000-0000-00004B000000}"/>
    <cellStyle name="Comma [0] 2 2 2 2 17 2 2 4 2" xfId="1046" xr:uid="{00000000-0005-0000-0000-00004C000000}"/>
    <cellStyle name="Comma [0] 2 2 2 2 17 2 2 5" xfId="1094" xr:uid="{00000000-0005-0000-0000-00004D000000}"/>
    <cellStyle name="Comma [0] 2 2 2 2 17 2 3" xfId="666" xr:uid="{00000000-0005-0000-0000-00004E000000}"/>
    <cellStyle name="Comma [0] 2 2 2 2 17 2 4" xfId="679" xr:uid="{00000000-0005-0000-0000-00004F000000}"/>
    <cellStyle name="Comma [0] 2 2 2 2 17 2 5" xfId="690" xr:uid="{00000000-0005-0000-0000-000050000000}"/>
    <cellStyle name="Comma [0] 2 2 2 2 17 2 6" xfId="698" xr:uid="{00000000-0005-0000-0000-000051000000}"/>
    <cellStyle name="Comma [0] 2 2 2 2 17 2 7" xfId="744" xr:uid="{00000000-0005-0000-0000-000052000000}"/>
    <cellStyle name="Comma [0] 2 2 2 2 17 2 7 2" xfId="890" xr:uid="{00000000-0005-0000-0000-000053000000}"/>
    <cellStyle name="Comma [0] 2 2 2 2 17 2 7 2 2" xfId="1002" xr:uid="{00000000-0005-0000-0000-000054000000}"/>
    <cellStyle name="Comma [0] 2 2 2 2 17 2 7 3" xfId="1084" xr:uid="{00000000-0005-0000-0000-000055000000}"/>
    <cellStyle name="Comma [0] 2 2 2 2 17 2 7 4" xfId="1118" xr:uid="{00000000-0005-0000-0000-000056000000}"/>
    <cellStyle name="Comma [0] 2 2 2 2 17 2 8" xfId="802" xr:uid="{00000000-0005-0000-0000-000057000000}"/>
    <cellStyle name="Comma [0] 2 2 2 2 17 2 8 2" xfId="858" xr:uid="{00000000-0005-0000-0000-000058000000}"/>
    <cellStyle name="Comma [0] 2 2 2 2 17 2 9" xfId="1072" xr:uid="{00000000-0005-0000-0000-000059000000}"/>
    <cellStyle name="Comma [0] 2 2 2 2 17 3" xfId="515" xr:uid="{00000000-0005-0000-0000-00005A000000}"/>
    <cellStyle name="Comma [0] 2 2 2 2 17 3 2" xfId="570" xr:uid="{00000000-0005-0000-0000-00005B000000}"/>
    <cellStyle name="Comma [0] 2 2 2 2 17 3 2 2" xfId="916" xr:uid="{00000000-0005-0000-0000-00005C000000}"/>
    <cellStyle name="Comma [0] 2 2 2 2 17 3 2 2 2" xfId="941" xr:uid="{00000000-0005-0000-0000-00005D000000}"/>
    <cellStyle name="Comma [0] 2 2 2 2 17 3 2 3" xfId="1032" xr:uid="{00000000-0005-0000-0000-00005E000000}"/>
    <cellStyle name="Comma [0] 2 2 2 2 17 3 2 4" xfId="932" xr:uid="{00000000-0005-0000-0000-00005F000000}"/>
    <cellStyle name="Comma [0] 2 2 2 2 17 3 3" xfId="728" xr:uid="{00000000-0005-0000-0000-000060000000}"/>
    <cellStyle name="Comma [0] 2 2 2 2 17 3 4" xfId="401" xr:uid="{00000000-0005-0000-0000-000061000000}"/>
    <cellStyle name="Comma [0] 2 2 2 2 17 3 4 2" xfId="859" xr:uid="{00000000-0005-0000-0000-000062000000}"/>
    <cellStyle name="Comma [0] 2 2 2 2 17 3 5" xfId="1010" xr:uid="{00000000-0005-0000-0000-000063000000}"/>
    <cellStyle name="Comma [0] 2 2 2 2 17 4" xfId="569" xr:uid="{00000000-0005-0000-0000-000064000000}"/>
    <cellStyle name="Comma [0] 2 2 2 2 17 5" xfId="669" xr:uid="{00000000-0005-0000-0000-000065000000}"/>
    <cellStyle name="Comma [0] 2 2 2 2 17 6" xfId="682" xr:uid="{00000000-0005-0000-0000-000066000000}"/>
    <cellStyle name="Comma [0] 2 2 2 2 17 7" xfId="294" xr:uid="{00000000-0005-0000-0000-000067000000}"/>
    <cellStyle name="Comma [0] 2 2 2 2 17 7 2" xfId="855" xr:uid="{00000000-0005-0000-0000-000068000000}"/>
    <cellStyle name="Comma [0] 2 2 2 2 17 7 2 2" xfId="704" xr:uid="{00000000-0005-0000-0000-000069000000}"/>
    <cellStyle name="Comma [0] 2 2 2 2 17 7 3" xfId="837" xr:uid="{00000000-0005-0000-0000-00006A000000}"/>
    <cellStyle name="Comma [0] 2 2 2 2 17 7 4" xfId="871" xr:uid="{00000000-0005-0000-0000-00006B000000}"/>
    <cellStyle name="Comma [0] 2 2 2 2 17 8" xfId="732" xr:uid="{00000000-0005-0000-0000-00006C000000}"/>
    <cellStyle name="Comma [0] 2 2 2 2 17 8 2" xfId="869" xr:uid="{00000000-0005-0000-0000-00006D000000}"/>
    <cellStyle name="Comma [0] 2 2 2 2 17 9" xfId="867" xr:uid="{00000000-0005-0000-0000-00006E000000}"/>
    <cellStyle name="Comma [0] 2 2 2 2 18" xfId="447" xr:uid="{00000000-0005-0000-0000-00006F000000}"/>
    <cellStyle name="Comma [0] 2 2 2 2 19" xfId="466" xr:uid="{00000000-0005-0000-0000-000070000000}"/>
    <cellStyle name="Comma [0] 2 2 2 2 2" xfId="57" xr:uid="{00000000-0005-0000-0000-000071000000}"/>
    <cellStyle name="Comma [0] 2 2 2 2 2 10" xfId="202" xr:uid="{00000000-0005-0000-0000-000072000000}"/>
    <cellStyle name="Comma [0] 2 2 2 2 2 10 2" xfId="232" xr:uid="{00000000-0005-0000-0000-000073000000}"/>
    <cellStyle name="Comma [0] 2 2 2 2 2 11" xfId="264" xr:uid="{00000000-0005-0000-0000-000074000000}"/>
    <cellStyle name="Comma [0] 2 2 2 2 2 12" xfId="235" xr:uid="{00000000-0005-0000-0000-000075000000}"/>
    <cellStyle name="Comma [0] 2 2 2 2 2 13" xfId="237" xr:uid="{00000000-0005-0000-0000-000076000000}"/>
    <cellStyle name="Comma [0] 2 2 2 2 2 14" xfId="253" xr:uid="{00000000-0005-0000-0000-000077000000}"/>
    <cellStyle name="Comma [0] 2 2 2 2 2 15" xfId="242" xr:uid="{00000000-0005-0000-0000-000078000000}"/>
    <cellStyle name="Comma [0] 2 2 2 2 2 16" xfId="307" xr:uid="{00000000-0005-0000-0000-000079000000}"/>
    <cellStyle name="Comma [0] 2 2 2 2 2 16 2" xfId="449" xr:uid="{00000000-0005-0000-0000-00007A000000}"/>
    <cellStyle name="Comma [0] 2 2 2 2 2 16 2 2" xfId="615" xr:uid="{00000000-0005-0000-0000-00007B000000}"/>
    <cellStyle name="Comma [0] 2 2 2 2 2 16 2 2 2" xfId="640" xr:uid="{00000000-0005-0000-0000-00007C000000}"/>
    <cellStyle name="Comma [0] 2 2 2 2 2 16 2 2 2 2" xfId="961" xr:uid="{00000000-0005-0000-0000-00007D000000}"/>
    <cellStyle name="Comma [0] 2 2 2 2 2 16 2 2 2 2 2" xfId="975" xr:uid="{00000000-0005-0000-0000-00007E000000}"/>
    <cellStyle name="Comma [0] 2 2 2 2 2 16 2 2 2 3" xfId="1059" xr:uid="{00000000-0005-0000-0000-00007F000000}"/>
    <cellStyle name="Comma [0] 2 2 2 2 2 16 2 2 2 4" xfId="1107" xr:uid="{00000000-0005-0000-0000-000080000000}"/>
    <cellStyle name="Comma [0] 2 2 2 2 2 16 2 2 3" xfId="760" xr:uid="{00000000-0005-0000-0000-000081000000}"/>
    <cellStyle name="Comma [0] 2 2 2 2 2 16 2 2 4" xfId="813" xr:uid="{00000000-0005-0000-0000-000082000000}"/>
    <cellStyle name="Comma [0] 2 2 2 2 2 16 2 2 4 2" xfId="1047" xr:uid="{00000000-0005-0000-0000-000083000000}"/>
    <cellStyle name="Comma [0] 2 2 2 2 2 16 2 2 5" xfId="1095" xr:uid="{00000000-0005-0000-0000-000084000000}"/>
    <cellStyle name="Comma [0] 2 2 2 2 2 16 2 3" xfId="667" xr:uid="{00000000-0005-0000-0000-000085000000}"/>
    <cellStyle name="Comma [0] 2 2 2 2 2 16 2 4" xfId="680" xr:uid="{00000000-0005-0000-0000-000086000000}"/>
    <cellStyle name="Comma [0] 2 2 2 2 2 16 2 5" xfId="691" xr:uid="{00000000-0005-0000-0000-000087000000}"/>
    <cellStyle name="Comma [0] 2 2 2 2 2 16 2 6" xfId="699" xr:uid="{00000000-0005-0000-0000-000088000000}"/>
    <cellStyle name="Comma [0] 2 2 2 2 2 16 2 7" xfId="745" xr:uid="{00000000-0005-0000-0000-000089000000}"/>
    <cellStyle name="Comma [0] 2 2 2 2 2 16 2 7 2" xfId="891" xr:uid="{00000000-0005-0000-0000-00008A000000}"/>
    <cellStyle name="Comma [0] 2 2 2 2 2 16 2 7 2 2" xfId="1003" xr:uid="{00000000-0005-0000-0000-00008B000000}"/>
    <cellStyle name="Comma [0] 2 2 2 2 2 16 2 7 3" xfId="1085" xr:uid="{00000000-0005-0000-0000-00008C000000}"/>
    <cellStyle name="Comma [0] 2 2 2 2 2 16 2 7 4" xfId="1119" xr:uid="{00000000-0005-0000-0000-00008D000000}"/>
    <cellStyle name="Comma [0] 2 2 2 2 2 16 2 8" xfId="803" xr:uid="{00000000-0005-0000-0000-00008E000000}"/>
    <cellStyle name="Comma [0] 2 2 2 2 2 16 2 8 2" xfId="578" xr:uid="{00000000-0005-0000-0000-00008F000000}"/>
    <cellStyle name="Comma [0] 2 2 2 2 2 16 2 9" xfId="1070" xr:uid="{00000000-0005-0000-0000-000090000000}"/>
    <cellStyle name="Comma [0] 2 2 2 2 2 16 3" xfId="516" xr:uid="{00000000-0005-0000-0000-000091000000}"/>
    <cellStyle name="Comma [0] 2 2 2 2 2 16 3 2" xfId="512" xr:uid="{00000000-0005-0000-0000-000092000000}"/>
    <cellStyle name="Comma [0] 2 2 2 2 2 16 3 2 2" xfId="917" xr:uid="{00000000-0005-0000-0000-000093000000}"/>
    <cellStyle name="Comma [0] 2 2 2 2 2 16 3 2 2 2" xfId="915" xr:uid="{00000000-0005-0000-0000-000094000000}"/>
    <cellStyle name="Comma [0] 2 2 2 2 2 16 3 2 3" xfId="721" xr:uid="{00000000-0005-0000-0000-000095000000}"/>
    <cellStyle name="Comma [0] 2 2 2 2 2 16 3 2 4" xfId="992" xr:uid="{00000000-0005-0000-0000-000096000000}"/>
    <cellStyle name="Comma [0] 2 2 2 2 2 16 3 3" xfId="417" xr:uid="{00000000-0005-0000-0000-000097000000}"/>
    <cellStyle name="Comma [0] 2 2 2 2 2 16 3 4" xfId="365" xr:uid="{00000000-0005-0000-0000-000098000000}"/>
    <cellStyle name="Comma [0] 2 2 2 2 2 16 3 4 2" xfId="815" xr:uid="{00000000-0005-0000-0000-000099000000}"/>
    <cellStyle name="Comma [0] 2 2 2 2 2 16 3 5" xfId="888" xr:uid="{00000000-0005-0000-0000-00009A000000}"/>
    <cellStyle name="Comma [0] 2 2 2 2 2 16 4" xfId="528" xr:uid="{00000000-0005-0000-0000-00009B000000}"/>
    <cellStyle name="Comma [0] 2 2 2 2 2 16 5" xfId="642" xr:uid="{00000000-0005-0000-0000-00009C000000}"/>
    <cellStyle name="Comma [0] 2 2 2 2 2 16 6" xfId="591" xr:uid="{00000000-0005-0000-0000-00009D000000}"/>
    <cellStyle name="Comma [0] 2 2 2 2 2 16 7" xfId="430" xr:uid="{00000000-0005-0000-0000-00009E000000}"/>
    <cellStyle name="Comma [0] 2 2 2 2 2 16 7 2" xfId="510" xr:uid="{00000000-0005-0000-0000-00009F000000}"/>
    <cellStyle name="Comma [0] 2 2 2 2 2 16 7 2 2" xfId="882" xr:uid="{00000000-0005-0000-0000-0000A0000000}"/>
    <cellStyle name="Comma [0] 2 2 2 2 2 16 7 3" xfId="561" xr:uid="{00000000-0005-0000-0000-0000A1000000}"/>
    <cellStyle name="Comma [0] 2 2 2 2 2 16 7 4" xfId="921" xr:uid="{00000000-0005-0000-0000-0000A2000000}"/>
    <cellStyle name="Comma [0] 2 2 2 2 2 16 8" xfId="723" xr:uid="{00000000-0005-0000-0000-0000A3000000}"/>
    <cellStyle name="Comma [0] 2 2 2 2 2 16 8 2" xfId="843" xr:uid="{00000000-0005-0000-0000-0000A4000000}"/>
    <cellStyle name="Comma [0] 2 2 2 2 2 16 9" xfId="844" xr:uid="{00000000-0005-0000-0000-0000A5000000}"/>
    <cellStyle name="Comma [0] 2 2 2 2 2 17" xfId="444" xr:uid="{00000000-0005-0000-0000-0000A6000000}"/>
    <cellStyle name="Comma [0] 2 2 2 2 2 18" xfId="462" xr:uid="{00000000-0005-0000-0000-0000A7000000}"/>
    <cellStyle name="Comma [0] 2 2 2 2 2 19" xfId="478" xr:uid="{00000000-0005-0000-0000-0000A8000000}"/>
    <cellStyle name="Comma [0] 2 2 2 2 2 2" xfId="135" xr:uid="{00000000-0005-0000-0000-0000A9000000}"/>
    <cellStyle name="Comma [0] 2 2 2 2 2 2 10" xfId="280" xr:uid="{00000000-0005-0000-0000-0000AA000000}"/>
    <cellStyle name="Comma [0] 2 2 2 2 2 2 11" xfId="281" xr:uid="{00000000-0005-0000-0000-0000AB000000}"/>
    <cellStyle name="Comma [0] 2 2 2 2 2 2 12" xfId="308" xr:uid="{00000000-0005-0000-0000-0000AC000000}"/>
    <cellStyle name="Comma [0] 2 2 2 2 2 2 12 2" xfId="457" xr:uid="{00000000-0005-0000-0000-0000AD000000}"/>
    <cellStyle name="Comma [0] 2 2 2 2 2 2 12 2 2" xfId="616" xr:uid="{00000000-0005-0000-0000-0000AE000000}"/>
    <cellStyle name="Comma [0] 2 2 2 2 2 2 12 2 2 2" xfId="643" xr:uid="{00000000-0005-0000-0000-0000AF000000}"/>
    <cellStyle name="Comma [0] 2 2 2 2 2 2 12 2 2 2 2" xfId="962" xr:uid="{00000000-0005-0000-0000-0000B0000000}"/>
    <cellStyle name="Comma [0] 2 2 2 2 2 2 12 2 2 2 2 2" xfId="978" xr:uid="{00000000-0005-0000-0000-0000B1000000}"/>
    <cellStyle name="Comma [0] 2 2 2 2 2 2 12 2 2 2 3" xfId="1061" xr:uid="{00000000-0005-0000-0000-0000B2000000}"/>
    <cellStyle name="Comma [0] 2 2 2 2 2 2 12 2 2 2 4" xfId="1108" xr:uid="{00000000-0005-0000-0000-0000B3000000}"/>
    <cellStyle name="Comma [0] 2 2 2 2 2 2 12 2 2 3" xfId="762" xr:uid="{00000000-0005-0000-0000-0000B4000000}"/>
    <cellStyle name="Comma [0] 2 2 2 2 2 2 12 2 2 4" xfId="816" xr:uid="{00000000-0005-0000-0000-0000B5000000}"/>
    <cellStyle name="Comma [0] 2 2 2 2 2 2 12 2 2 4 2" xfId="1048" xr:uid="{00000000-0005-0000-0000-0000B6000000}"/>
    <cellStyle name="Comma [0] 2 2 2 2 2 2 12 2 2 5" xfId="1096" xr:uid="{00000000-0005-0000-0000-0000B7000000}"/>
    <cellStyle name="Comma [0] 2 2 2 2 2 2 12 2 3" xfId="670" xr:uid="{00000000-0005-0000-0000-0000B8000000}"/>
    <cellStyle name="Comma [0] 2 2 2 2 2 2 12 2 4" xfId="683" xr:uid="{00000000-0005-0000-0000-0000B9000000}"/>
    <cellStyle name="Comma [0] 2 2 2 2 2 2 12 2 5" xfId="692" xr:uid="{00000000-0005-0000-0000-0000BA000000}"/>
    <cellStyle name="Comma [0] 2 2 2 2 2 2 12 2 6" xfId="700" xr:uid="{00000000-0005-0000-0000-0000BB000000}"/>
    <cellStyle name="Comma [0] 2 2 2 2 2 2 12 2 7" xfId="746" xr:uid="{00000000-0005-0000-0000-0000BC000000}"/>
    <cellStyle name="Comma [0] 2 2 2 2 2 2 12 2 7 2" xfId="896" xr:uid="{00000000-0005-0000-0000-0000BD000000}"/>
    <cellStyle name="Comma [0] 2 2 2 2 2 2 12 2 7 2 2" xfId="1004" xr:uid="{00000000-0005-0000-0000-0000BE000000}"/>
    <cellStyle name="Comma [0] 2 2 2 2 2 2 12 2 7 3" xfId="1086" xr:uid="{00000000-0005-0000-0000-0000BF000000}"/>
    <cellStyle name="Comma [0] 2 2 2 2 2 2 12 2 7 4" xfId="1120" xr:uid="{00000000-0005-0000-0000-0000C0000000}"/>
    <cellStyle name="Comma [0] 2 2 2 2 2 2 12 2 8" xfId="804" xr:uid="{00000000-0005-0000-0000-0000C1000000}"/>
    <cellStyle name="Comma [0] 2 2 2 2 2 2 12 2 8 2" xfId="850" xr:uid="{00000000-0005-0000-0000-0000C2000000}"/>
    <cellStyle name="Comma [0] 2 2 2 2 2 2 12 2 9" xfId="796" xr:uid="{00000000-0005-0000-0000-0000C3000000}"/>
    <cellStyle name="Comma [0] 2 2 2 2 2 2 12 3" xfId="541" xr:uid="{00000000-0005-0000-0000-0000C4000000}"/>
    <cellStyle name="Comma [0] 2 2 2 2 2 2 12 3 2" xfId="511" xr:uid="{00000000-0005-0000-0000-0000C5000000}"/>
    <cellStyle name="Comma [0] 2 2 2 2 2 2 12 3 2 2" xfId="927" xr:uid="{00000000-0005-0000-0000-0000C6000000}"/>
    <cellStyle name="Comma [0] 2 2 2 2 2 2 12 3 2 2 2" xfId="914" xr:uid="{00000000-0005-0000-0000-0000C7000000}"/>
    <cellStyle name="Comma [0] 2 2 2 2 2 2 12 3 2 3" xfId="771" xr:uid="{00000000-0005-0000-0000-0000C8000000}"/>
    <cellStyle name="Comma [0] 2 2 2 2 2 2 12 3 2 4" xfId="756" xr:uid="{00000000-0005-0000-0000-0000C9000000}"/>
    <cellStyle name="Comma [0] 2 2 2 2 2 2 12 3 3" xfId="293" xr:uid="{00000000-0005-0000-0000-0000CA000000}"/>
    <cellStyle name="Comma [0] 2 2 2 2 2 2 12 3 4" xfId="404" xr:uid="{00000000-0005-0000-0000-0000CB000000}"/>
    <cellStyle name="Comma [0] 2 2 2 2 2 2 12 3 4 2" xfId="1018" xr:uid="{00000000-0005-0000-0000-0000CC000000}"/>
    <cellStyle name="Comma [0] 2 2 2 2 2 2 12 3 5" xfId="894" xr:uid="{00000000-0005-0000-0000-0000CD000000}"/>
    <cellStyle name="Comma [0] 2 2 2 2 2 2 12 4" xfId="641" xr:uid="{00000000-0005-0000-0000-0000CE000000}"/>
    <cellStyle name="Comma [0] 2 2 2 2 2 2 12 5" xfId="539" xr:uid="{00000000-0005-0000-0000-0000CF000000}"/>
    <cellStyle name="Comma [0] 2 2 2 2 2 2 12 6" xfId="549" xr:uid="{00000000-0005-0000-0000-0000D0000000}"/>
    <cellStyle name="Comma [0] 2 2 2 2 2 2 12 7" xfId="713" xr:uid="{00000000-0005-0000-0000-0000D1000000}"/>
    <cellStyle name="Comma [0] 2 2 2 2 2 2 12 7 2" xfId="847" xr:uid="{00000000-0005-0000-0000-0000D2000000}"/>
    <cellStyle name="Comma [0] 2 2 2 2 2 2 12 7 2 2" xfId="996" xr:uid="{00000000-0005-0000-0000-0000D3000000}"/>
    <cellStyle name="Comma [0] 2 2 2 2 2 2 12 7 3" xfId="1077" xr:uid="{00000000-0005-0000-0000-0000D4000000}"/>
    <cellStyle name="Comma [0] 2 2 2 2 2 2 12 7 4" xfId="1112" xr:uid="{00000000-0005-0000-0000-0000D5000000}"/>
    <cellStyle name="Comma [0] 2 2 2 2 2 2 12 8" xfId="761" xr:uid="{00000000-0005-0000-0000-0000D6000000}"/>
    <cellStyle name="Comma [0] 2 2 2 2 2 2 12 8 2" xfId="777" xr:uid="{00000000-0005-0000-0000-0000D7000000}"/>
    <cellStyle name="Comma [0] 2 2 2 2 2 2 12 9" xfId="865" xr:uid="{00000000-0005-0000-0000-0000D8000000}"/>
    <cellStyle name="Comma [0] 2 2 2 2 2 2 13" xfId="463" xr:uid="{00000000-0005-0000-0000-0000D9000000}"/>
    <cellStyle name="Comma [0] 2 2 2 2 2 2 14" xfId="474" xr:uid="{00000000-0005-0000-0000-0000DA000000}"/>
    <cellStyle name="Comma [0] 2 2 2 2 2 2 15" xfId="465" xr:uid="{00000000-0005-0000-0000-0000DB000000}"/>
    <cellStyle name="Comma [0] 2 2 2 2 2 2 16" xfId="313" xr:uid="{00000000-0005-0000-0000-0000DC000000}"/>
    <cellStyle name="Comma [0] 2 2 2 2 2 2 16 2" xfId="534" xr:uid="{00000000-0005-0000-0000-0000DD000000}"/>
    <cellStyle name="Comma [0] 2 2 2 2 2 2 16 2 2" xfId="583" xr:uid="{00000000-0005-0000-0000-0000DE000000}"/>
    <cellStyle name="Comma [0] 2 2 2 2 2 2 16 2 2 2" xfId="923" xr:uid="{00000000-0005-0000-0000-0000DF000000}"/>
    <cellStyle name="Comma [0] 2 2 2 2 2 2 16 2 3" xfId="1014" xr:uid="{00000000-0005-0000-0000-0000E0000000}"/>
    <cellStyle name="Comma [0] 2 2 2 2 2 2 16 2 4" xfId="1080" xr:uid="{00000000-0005-0000-0000-0000E1000000}"/>
    <cellStyle name="Comma [0] 2 2 2 2 2 2 16 3" xfId="710" xr:uid="{00000000-0005-0000-0000-0000E2000000}"/>
    <cellStyle name="Comma [0] 2 2 2 2 2 2 16 4" xfId="779" xr:uid="{00000000-0005-0000-0000-0000E3000000}"/>
    <cellStyle name="Comma [0] 2 2 2 2 2 2 16 4 2" xfId="956" xr:uid="{00000000-0005-0000-0000-0000E4000000}"/>
    <cellStyle name="Comma [0] 2 2 2 2 2 2 16 5" xfId="1026" xr:uid="{00000000-0005-0000-0000-0000E5000000}"/>
    <cellStyle name="Comma [0] 2 2 2 2 2 2 17" xfId="557" xr:uid="{00000000-0005-0000-0000-0000E6000000}"/>
    <cellStyle name="Comma [0] 2 2 2 2 2 2 18" xfId="652" xr:uid="{00000000-0005-0000-0000-0000E7000000}"/>
    <cellStyle name="Comma [0] 2 2 2 2 2 2 19" xfId="665" xr:uid="{00000000-0005-0000-0000-0000E8000000}"/>
    <cellStyle name="Comma [0] 2 2 2 2 2 2 2" xfId="136" xr:uid="{00000000-0005-0000-0000-0000E9000000}"/>
    <cellStyle name="Comma [0] 2 2 2 2 2 2 2 10" xfId="459" xr:uid="{00000000-0005-0000-0000-0000EA000000}"/>
    <cellStyle name="Comma [0] 2 2 2 2 2 2 2 11" xfId="460" xr:uid="{00000000-0005-0000-0000-0000EB000000}"/>
    <cellStyle name="Comma [0] 2 2 2 2 2 2 2 12" xfId="472" xr:uid="{00000000-0005-0000-0000-0000EC000000}"/>
    <cellStyle name="Comma [0] 2 2 2 2 2 2 2 13" xfId="327" xr:uid="{00000000-0005-0000-0000-0000ED000000}"/>
    <cellStyle name="Comma [0] 2 2 2 2 2 2 2 13 2" xfId="562" xr:uid="{00000000-0005-0000-0000-0000EE000000}"/>
    <cellStyle name="Comma [0] 2 2 2 2 2 2 2 13 2 2" xfId="737" xr:uid="{00000000-0005-0000-0000-0000EF000000}"/>
    <cellStyle name="Comma [0] 2 2 2 2 2 2 2 13 2 2 2" xfId="936" xr:uid="{00000000-0005-0000-0000-0000F0000000}"/>
    <cellStyle name="Comma [0] 2 2 2 2 2 2 2 13 2 3" xfId="1027" xr:uid="{00000000-0005-0000-0000-0000F1000000}"/>
    <cellStyle name="Comma [0] 2 2 2 2 2 2 2 13 2 4" xfId="857" xr:uid="{00000000-0005-0000-0000-0000F2000000}"/>
    <cellStyle name="Comma [0] 2 2 2 2 2 2 2 13 3" xfId="724" xr:uid="{00000000-0005-0000-0000-0000F3000000}"/>
    <cellStyle name="Comma [0] 2 2 2 2 2 2 2 13 4" xfId="302" xr:uid="{00000000-0005-0000-0000-0000F4000000}"/>
    <cellStyle name="Comma [0] 2 2 2 2 2 2 2 13 4 2" xfId="864" xr:uid="{00000000-0005-0000-0000-0000F5000000}"/>
    <cellStyle name="Comma [0] 2 2 2 2 2 2 2 13 5" xfId="973" xr:uid="{00000000-0005-0000-0000-0000F6000000}"/>
    <cellStyle name="Comma [0] 2 2 2 2 2 2 2 14" xfId="572" xr:uid="{00000000-0005-0000-0000-0000F7000000}"/>
    <cellStyle name="Comma [0] 2 2 2 2 2 2 2 15" xfId="501" xr:uid="{00000000-0005-0000-0000-0000F8000000}"/>
    <cellStyle name="Comma [0] 2 2 2 2 2 2 2 16" xfId="508" xr:uid="{00000000-0005-0000-0000-0000F9000000}"/>
    <cellStyle name="Comma [0] 2 2 2 2 2 2 2 17" xfId="544" xr:uid="{00000000-0005-0000-0000-0000FA000000}"/>
    <cellStyle name="Comma [0] 2 2 2 2 2 2 2 18" xfId="585" xr:uid="{00000000-0005-0000-0000-0000FB000000}"/>
    <cellStyle name="Comma [0] 2 2 2 2 2 2 2 18 2" xfId="818" xr:uid="{00000000-0005-0000-0000-0000FC000000}"/>
    <cellStyle name="Comma [0] 2 2 2 2 2 2 2 18 2 2" xfId="947" xr:uid="{00000000-0005-0000-0000-0000FD000000}"/>
    <cellStyle name="Comma [0] 2 2 2 2 2 2 2 18 3" xfId="1038" xr:uid="{00000000-0005-0000-0000-0000FE000000}"/>
    <cellStyle name="Comma [0] 2 2 2 2 2 2 2 18 4" xfId="883" xr:uid="{00000000-0005-0000-0000-0000FF000000}"/>
    <cellStyle name="Comma [0] 2 2 2 2 2 2 2 19" xfId="487" xr:uid="{00000000-0005-0000-0000-000000010000}"/>
    <cellStyle name="Comma [0] 2 2 2 2 2 2 2 19 2" xfId="424" xr:uid="{00000000-0005-0000-0000-000001010000}"/>
    <cellStyle name="Comma [0] 2 2 2 2 2 2 2 2" xfId="212" xr:uid="{00000000-0005-0000-0000-000002010000}"/>
    <cellStyle name="Comma [0] 2 2 2 2 2 2 2 2 10" xfId="598" xr:uid="{00000000-0005-0000-0000-000003010000}"/>
    <cellStyle name="Comma [0] 2 2 2 2 2 2 2 2 11" xfId="674" xr:uid="{00000000-0005-0000-0000-000004010000}"/>
    <cellStyle name="Comma [0] 2 2 2 2 2 2 2 2 12" xfId="329" xr:uid="{00000000-0005-0000-0000-000005010000}"/>
    <cellStyle name="Comma [0] 2 2 2 2 2 2 2 2 12 2" xfId="852" xr:uid="{00000000-0005-0000-0000-000006010000}"/>
    <cellStyle name="Comma [0] 2 2 2 2 2 2 2 2 12 2 2" xfId="361" xr:uid="{00000000-0005-0000-0000-000007010000}"/>
    <cellStyle name="Comma [0] 2 2 2 2 2 2 2 2 12 3" xfId="988" xr:uid="{00000000-0005-0000-0000-000008010000}"/>
    <cellStyle name="Comma [0] 2 2 2 2 2 2 2 2 12 4" xfId="304" xr:uid="{00000000-0005-0000-0000-000009010000}"/>
    <cellStyle name="Comma [0] 2 2 2 2 2 2 2 2 13" xfId="485" xr:uid="{00000000-0005-0000-0000-00000A010000}"/>
    <cellStyle name="Comma [0] 2 2 2 2 2 2 2 2 13 2" xfId="955" xr:uid="{00000000-0005-0000-0000-00000B010000}"/>
    <cellStyle name="Comma [0] 2 2 2 2 2 2 2 2 14" xfId="866" xr:uid="{00000000-0005-0000-0000-00000C010000}"/>
    <cellStyle name="Comma [0] 2 2 2 2 2 2 2 2 2" xfId="213" xr:uid="{00000000-0005-0000-0000-00000D010000}"/>
    <cellStyle name="Comma [0] 2 2 2 2 2 2 2 2 2 10" xfId="520" xr:uid="{00000000-0005-0000-0000-00000E010000}"/>
    <cellStyle name="Comma [0] 2 2 2 2 2 2 2 2 2 11" xfId="655" xr:uid="{00000000-0005-0000-0000-00000F010000}"/>
    <cellStyle name="Comma [0] 2 2 2 2 2 2 2 2 2 12" xfId="493" xr:uid="{00000000-0005-0000-0000-000010010000}"/>
    <cellStyle name="Comma [0] 2 2 2 2 2 2 2 2 2 12 2" xfId="722" xr:uid="{00000000-0005-0000-0000-000011010000}"/>
    <cellStyle name="Comma [0] 2 2 2 2 2 2 2 2 2 12 2 2" xfId="906" xr:uid="{00000000-0005-0000-0000-000012010000}"/>
    <cellStyle name="Comma [0] 2 2 2 2 2 2 2 2 2 12 3" xfId="825" xr:uid="{00000000-0005-0000-0000-000013010000}"/>
    <cellStyle name="Comma [0] 2 2 2 2 2 2 2 2 2 12 4" xfId="814" xr:uid="{00000000-0005-0000-0000-000014010000}"/>
    <cellStyle name="Comma [0] 2 2 2 2 2 2 2 2 2 13" xfId="629" xr:uid="{00000000-0005-0000-0000-000015010000}"/>
    <cellStyle name="Comma [0] 2 2 2 2 2 2 2 2 2 13 2" xfId="946" xr:uid="{00000000-0005-0000-0000-000016010000}"/>
    <cellStyle name="Comma [0] 2 2 2 2 2 2 2 2 2 14" xfId="887" xr:uid="{00000000-0005-0000-0000-000017010000}"/>
    <cellStyle name="Comma [0] 2 2 2 2 2 2 2 2 2 2" xfId="394" xr:uid="{00000000-0005-0000-0000-000018010000}"/>
    <cellStyle name="Comma [0] 2 2 2 2 2 2 2 2 2 2 2" xfId="395" xr:uid="{00000000-0005-0000-0000-000019010000}"/>
    <cellStyle name="Comma [0] 2 2 2 2 2 2 2 2 2 2 2 2" xfId="626" xr:uid="{00000000-0005-0000-0000-00001A010000}"/>
    <cellStyle name="Comma [0] 2 2 2 2 2 2 2 2 2 2 2 2 2" xfId="627" xr:uid="{00000000-0005-0000-0000-00001B010000}"/>
    <cellStyle name="Comma [0] 2 2 2 2 2 2 2 2 2 2 2 2 2 2" xfId="966" xr:uid="{00000000-0005-0000-0000-00001C010000}"/>
    <cellStyle name="Comma [0] 2 2 2 2 2 2 2 2 2 2 2 2 2 2 2" xfId="967" xr:uid="{00000000-0005-0000-0000-00001D010000}"/>
    <cellStyle name="Comma [0] 2 2 2 2 2 2 2 2 2 2 2 2 2 3" xfId="1053" xr:uid="{00000000-0005-0000-0000-00001E010000}"/>
    <cellStyle name="Comma [0] 2 2 2 2 2 2 2 2 2 2 2 2 2 4" xfId="1101" xr:uid="{00000000-0005-0000-0000-00001F010000}"/>
    <cellStyle name="Comma [0] 2 2 2 2 2 2 2 2 2 2 2 2 3" xfId="754" xr:uid="{00000000-0005-0000-0000-000020010000}"/>
    <cellStyle name="Comma [0] 2 2 2 2 2 2 2 2 2 2 2 2 4" xfId="808" xr:uid="{00000000-0005-0000-0000-000021010000}"/>
    <cellStyle name="Comma [0] 2 2 2 2 2 2 2 2 2 2 2 2 4 2" xfId="1052" xr:uid="{00000000-0005-0000-0000-000022010000}"/>
    <cellStyle name="Comma [0] 2 2 2 2 2 2 2 2 2 2 2 2 5" xfId="1100" xr:uid="{00000000-0005-0000-0000-000023010000}"/>
    <cellStyle name="Comma [0] 2 2 2 2 2 2 2 2 2 2 2 3" xfId="657" xr:uid="{00000000-0005-0000-0000-000024010000}"/>
    <cellStyle name="Comma [0] 2 2 2 2 2 2 2 2 2 2 2 4" xfId="588" xr:uid="{00000000-0005-0000-0000-000025010000}"/>
    <cellStyle name="Comma [0] 2 2 2 2 2 2 2 2 2 2 2 5" xfId="522" xr:uid="{00000000-0005-0000-0000-000026010000}"/>
    <cellStyle name="Comma [0] 2 2 2 2 2 2 2 2 2 2 2 6" xfId="502" xr:uid="{00000000-0005-0000-0000-000027010000}"/>
    <cellStyle name="Comma [0] 2 2 2 2 2 2 2 2 2 2 2 7" xfId="753" xr:uid="{00000000-0005-0000-0000-000028010000}"/>
    <cellStyle name="Comma [0] 2 2 2 2 2 2 2 2 2 2 2 7 2" xfId="875" xr:uid="{00000000-0005-0000-0000-000029010000}"/>
    <cellStyle name="Comma [0] 2 2 2 2 2 2 2 2 2 2 2 7 2 2" xfId="1007" xr:uid="{00000000-0005-0000-0000-00002A010000}"/>
    <cellStyle name="Comma [0] 2 2 2 2 2 2 2 2 2 2 2 7 3" xfId="1089" xr:uid="{00000000-0005-0000-0000-00002B010000}"/>
    <cellStyle name="Comma [0] 2 2 2 2 2 2 2 2 2 2 2 7 4" xfId="1123" xr:uid="{00000000-0005-0000-0000-00002C010000}"/>
    <cellStyle name="Comma [0] 2 2 2 2 2 2 2 2 2 2 2 8" xfId="807" xr:uid="{00000000-0005-0000-0000-00002D010000}"/>
    <cellStyle name="Comma [0] 2 2 2 2 2 2 2 2 2 2 2 8 2" xfId="986" xr:uid="{00000000-0005-0000-0000-00002E010000}"/>
    <cellStyle name="Comma [0] 2 2 2 2 2 2 2 2 2 2 2 9" xfId="834" xr:uid="{00000000-0005-0000-0000-00002F010000}"/>
    <cellStyle name="Comma [0] 2 2 2 2 2 2 2 2 2 2 3" xfId="373" xr:uid="{00000000-0005-0000-0000-000030010000}"/>
    <cellStyle name="Comma [0] 2 2 2 2 2 2 2 2 2 2 3 2" xfId="656" xr:uid="{00000000-0005-0000-0000-000031010000}"/>
    <cellStyle name="Comma [0] 2 2 2 2 2 2 2 2 2 2 3 2 2" xfId="872" xr:uid="{00000000-0005-0000-0000-000032010000}"/>
    <cellStyle name="Comma [0] 2 2 2 2 2 2 2 2 2 2 3 2 2 2" xfId="984" xr:uid="{00000000-0005-0000-0000-000033010000}"/>
    <cellStyle name="Comma [0] 2 2 2 2 2 2 2 2 2 2 3 2 3" xfId="1066" xr:uid="{00000000-0005-0000-0000-000034010000}"/>
    <cellStyle name="Comma [0] 2 2 2 2 2 2 2 2 2 2 3 2 4" xfId="1111" xr:uid="{00000000-0005-0000-0000-000035010000}"/>
    <cellStyle name="Comma [0] 2 2 2 2 2 2 2 2 2 2 3 3" xfId="766" xr:uid="{00000000-0005-0000-0000-000036010000}"/>
    <cellStyle name="Comma [0] 2 2 2 2 2 2 2 2 2 2 3 4" xfId="829" xr:uid="{00000000-0005-0000-0000-000037010000}"/>
    <cellStyle name="Comma [0] 2 2 2 2 2 2 2 2 2 2 3 4 2" xfId="990" xr:uid="{00000000-0005-0000-0000-000038010000}"/>
    <cellStyle name="Comma [0] 2 2 2 2 2 2 2 2 2 2 3 5" xfId="296" xr:uid="{00000000-0005-0000-0000-000039010000}"/>
    <cellStyle name="Comma [0] 2 2 2 2 2 2 2 2 2 2 4" xfId="554" xr:uid="{00000000-0005-0000-0000-00003A010000}"/>
    <cellStyle name="Comma [0] 2 2 2 2 2 2 2 2 2 2 5" xfId="668" xr:uid="{00000000-0005-0000-0000-00003B010000}"/>
    <cellStyle name="Comma [0] 2 2 2 2 2 2 2 2 2 2 6" xfId="681" xr:uid="{00000000-0005-0000-0000-00003C010000}"/>
    <cellStyle name="Comma [0] 2 2 2 2 2 2 2 2 2 2 7" xfId="490" xr:uid="{00000000-0005-0000-0000-00003D010000}"/>
    <cellStyle name="Comma [0] 2 2 2 2 2 2 2 2 2 2 7 2" xfId="874" xr:uid="{00000000-0005-0000-0000-00003E010000}"/>
    <cellStyle name="Comma [0] 2 2 2 2 2 2 2 2 2 2 7 2 2" xfId="905" xr:uid="{00000000-0005-0000-0000-00003F010000}"/>
    <cellStyle name="Comma [0] 2 2 2 2 2 2 2 2 2 2 7 3" xfId="824" xr:uid="{00000000-0005-0000-0000-000040010000}"/>
    <cellStyle name="Comma [0] 2 2 2 2 2 2 2 2 2 2 7 4" xfId="288" xr:uid="{00000000-0005-0000-0000-000041010000}"/>
    <cellStyle name="Comma [0] 2 2 2 2 2 2 2 2 2 2 8" xfId="367" xr:uid="{00000000-0005-0000-0000-000042010000}"/>
    <cellStyle name="Comma [0] 2 2 2 2 2 2 2 2 2 2 8 2" xfId="898" xr:uid="{00000000-0005-0000-0000-000043010000}"/>
    <cellStyle name="Comma [0] 2 2 2 2 2 2 2 2 2 2 9" xfId="995" xr:uid="{00000000-0005-0000-0000-000044010000}"/>
    <cellStyle name="Comma [0] 2 2 2 2 2 2 2 2 2 3" xfId="468" xr:uid="{00000000-0005-0000-0000-000045010000}"/>
    <cellStyle name="Comma [0] 2 2 2 2 2 2 2 2 2 4" xfId="461" xr:uid="{00000000-0005-0000-0000-000046010000}"/>
    <cellStyle name="Comma [0] 2 2 2 2 2 2 2 2 2 5" xfId="481" xr:uid="{00000000-0005-0000-0000-000047010000}"/>
    <cellStyle name="Comma [0] 2 2 2 2 2 2 2 2 2 6" xfId="482" xr:uid="{00000000-0005-0000-0000-000048010000}"/>
    <cellStyle name="Comma [0] 2 2 2 2 2 2 2 2 2 7" xfId="345" xr:uid="{00000000-0005-0000-0000-000049010000}"/>
    <cellStyle name="Comma [0] 2 2 2 2 2 2 2 2 2 7 2" xfId="576" xr:uid="{00000000-0005-0000-0000-00004A010000}"/>
    <cellStyle name="Comma [0] 2 2 2 2 2 2 2 2 2 7 2 2" xfId="841" xr:uid="{00000000-0005-0000-0000-00004B010000}"/>
    <cellStyle name="Comma [0] 2 2 2 2 2 2 2 2 2 7 2 2 2" xfId="944" xr:uid="{00000000-0005-0000-0000-00004C010000}"/>
    <cellStyle name="Comma [0] 2 2 2 2 2 2 2 2 2 7 2 3" xfId="1035" xr:uid="{00000000-0005-0000-0000-00004D010000}"/>
    <cellStyle name="Comma [0] 2 2 2 2 2 2 2 2 2 7 2 4" xfId="903" xr:uid="{00000000-0005-0000-0000-00004E010000}"/>
    <cellStyle name="Comma [0] 2 2 2 2 2 2 2 2 2 7 3" xfId="733" xr:uid="{00000000-0005-0000-0000-00004F010000}"/>
    <cellStyle name="Comma [0] 2 2 2 2 2 2 2 2 2 7 4" xfId="419" xr:uid="{00000000-0005-0000-0000-000050010000}"/>
    <cellStyle name="Comma [0] 2 2 2 2 2 2 2 2 2 7 4 2" xfId="861" xr:uid="{00000000-0005-0000-0000-000051010000}"/>
    <cellStyle name="Comma [0] 2 2 2 2 2 2 2 2 2 7 5" xfId="987" xr:uid="{00000000-0005-0000-0000-000052010000}"/>
    <cellStyle name="Comma [0] 2 2 2 2 2 2 2 2 2 8" xfId="537" xr:uid="{00000000-0005-0000-0000-000053010000}"/>
    <cellStyle name="Comma [0] 2 2 2 2 2 2 2 2 2 9" xfId="518" xr:uid="{00000000-0005-0000-0000-000054010000}"/>
    <cellStyle name="Comma [0] 2 2 2 2 2 2 2 2 3" xfId="349" xr:uid="{00000000-0005-0000-0000-000055010000}"/>
    <cellStyle name="Comma [0] 2 2 2 2 2 2 2 2 3 2" xfId="467" xr:uid="{00000000-0005-0000-0000-000056010000}"/>
    <cellStyle name="Comma [0] 2 2 2 2 2 2 2 2 3 2 2" xfId="618" xr:uid="{00000000-0005-0000-0000-000057010000}"/>
    <cellStyle name="Comma [0] 2 2 2 2 2 2 2 2 3 2 2 2" xfId="649" xr:uid="{00000000-0005-0000-0000-000058010000}"/>
    <cellStyle name="Comma [0] 2 2 2 2 2 2 2 2 3 2 2 2 2" xfId="964" xr:uid="{00000000-0005-0000-0000-000059010000}"/>
    <cellStyle name="Comma [0] 2 2 2 2 2 2 2 2 3 2 2 2 2 2" xfId="980" xr:uid="{00000000-0005-0000-0000-00005A010000}"/>
    <cellStyle name="Comma [0] 2 2 2 2 2 2 2 2 3 2 2 2 3" xfId="1063" xr:uid="{00000000-0005-0000-0000-00005B010000}"/>
    <cellStyle name="Comma [0] 2 2 2 2 2 2 2 2 3 2 2 2 4" xfId="1110" xr:uid="{00000000-0005-0000-0000-00005C010000}"/>
    <cellStyle name="Comma [0] 2 2 2 2 2 2 2 2 3 2 2 3" xfId="764" xr:uid="{00000000-0005-0000-0000-00005D010000}"/>
    <cellStyle name="Comma [0] 2 2 2 2 2 2 2 2 3 2 2 4" xfId="821" xr:uid="{00000000-0005-0000-0000-00005E010000}"/>
    <cellStyle name="Comma [0] 2 2 2 2 2 2 2 2 3 2 2 4 2" xfId="1050" xr:uid="{00000000-0005-0000-0000-00005F010000}"/>
    <cellStyle name="Comma [0] 2 2 2 2 2 2 2 2 3 2 2 5" xfId="1098" xr:uid="{00000000-0005-0000-0000-000060010000}"/>
    <cellStyle name="Comma [0] 2 2 2 2 2 2 2 2 3 2 3" xfId="672" xr:uid="{00000000-0005-0000-0000-000061010000}"/>
    <cellStyle name="Comma [0] 2 2 2 2 2 2 2 2 3 2 4" xfId="685" xr:uid="{00000000-0005-0000-0000-000062010000}"/>
    <cellStyle name="Comma [0] 2 2 2 2 2 2 2 2 3 2 5" xfId="694" xr:uid="{00000000-0005-0000-0000-000063010000}"/>
    <cellStyle name="Comma [0] 2 2 2 2 2 2 2 2 3 2 6" xfId="702" xr:uid="{00000000-0005-0000-0000-000064010000}"/>
    <cellStyle name="Comma [0] 2 2 2 2 2 2 2 2 3 2 7" xfId="750" xr:uid="{00000000-0005-0000-0000-000065010000}"/>
    <cellStyle name="Comma [0] 2 2 2 2 2 2 2 2 3 2 7 2" xfId="901" xr:uid="{00000000-0005-0000-0000-000066010000}"/>
    <cellStyle name="Comma [0] 2 2 2 2 2 2 2 2 3 2 7 2 2" xfId="1006" xr:uid="{00000000-0005-0000-0000-000067010000}"/>
    <cellStyle name="Comma [0] 2 2 2 2 2 2 2 2 3 2 7 3" xfId="1088" xr:uid="{00000000-0005-0000-0000-000068010000}"/>
    <cellStyle name="Comma [0] 2 2 2 2 2 2 2 2 3 2 7 4" xfId="1122" xr:uid="{00000000-0005-0000-0000-000069010000}"/>
    <cellStyle name="Comma [0] 2 2 2 2 2 2 2 2 3 2 8" xfId="806" xr:uid="{00000000-0005-0000-0000-00006A010000}"/>
    <cellStyle name="Comma [0] 2 2 2 2 2 2 2 2 3 2 8 2" xfId="775" xr:uid="{00000000-0005-0000-0000-00006B010000}"/>
    <cellStyle name="Comma [0] 2 2 2 2 2 2 2 2 3 2 9" xfId="1090" xr:uid="{00000000-0005-0000-0000-00006C010000}"/>
    <cellStyle name="Comma [0] 2 2 2 2 2 2 2 2 3 3" xfId="568" xr:uid="{00000000-0005-0000-0000-00006D010000}"/>
    <cellStyle name="Comma [0] 2 2 2 2 2 2 2 2 3 3 2" xfId="504" xr:uid="{00000000-0005-0000-0000-00006E010000}"/>
    <cellStyle name="Comma [0] 2 2 2 2 2 2 2 2 3 3 2 2" xfId="940" xr:uid="{00000000-0005-0000-0000-00006F010000}"/>
    <cellStyle name="Comma [0] 2 2 2 2 2 2 2 2 3 3 2 2 2" xfId="912" xr:uid="{00000000-0005-0000-0000-000070010000}"/>
    <cellStyle name="Comma [0] 2 2 2 2 2 2 2 2 3 3 2 3" xfId="826" xr:uid="{00000000-0005-0000-0000-000071010000}"/>
    <cellStyle name="Comma [0] 2 2 2 2 2 2 2 2 3 3 2 4" xfId="1068" xr:uid="{00000000-0005-0000-0000-000072010000}"/>
    <cellStyle name="Comma [0] 2 2 2 2 2 2 2 2 3 3 3" xfId="338" xr:uid="{00000000-0005-0000-0000-000073010000}"/>
    <cellStyle name="Comma [0] 2 2 2 2 2 2 2 2 3 3 4" xfId="314" xr:uid="{00000000-0005-0000-0000-000074010000}"/>
    <cellStyle name="Comma [0] 2 2 2 2 2 2 2 2 3 3 4 2" xfId="1031" xr:uid="{00000000-0005-0000-0000-000075010000}"/>
    <cellStyle name="Comma [0] 2 2 2 2 2 2 2 2 3 3 5" xfId="774" xr:uid="{00000000-0005-0000-0000-000076010000}"/>
    <cellStyle name="Comma [0] 2 2 2 2 2 2 2 2 3 4" xfId="574" xr:uid="{00000000-0005-0000-0000-000077010000}"/>
    <cellStyle name="Comma [0] 2 2 2 2 2 2 2 2 3 5" xfId="632" xr:uid="{00000000-0005-0000-0000-000078010000}"/>
    <cellStyle name="Comma [0] 2 2 2 2 2 2 2 2 3 6" xfId="647" xr:uid="{00000000-0005-0000-0000-000079010000}"/>
    <cellStyle name="Comma [0] 2 2 2 2 2 2 2 2 3 7" xfId="727" xr:uid="{00000000-0005-0000-0000-00007A010000}"/>
    <cellStyle name="Comma [0] 2 2 2 2 2 2 2 2 3 7 2" xfId="351" xr:uid="{00000000-0005-0000-0000-00007B010000}"/>
    <cellStyle name="Comma [0] 2 2 2 2 2 2 2 2 3 7 2 2" xfId="998" xr:uid="{00000000-0005-0000-0000-00007C010000}"/>
    <cellStyle name="Comma [0] 2 2 2 2 2 2 2 2 3 7 3" xfId="1079" xr:uid="{00000000-0005-0000-0000-00007D010000}"/>
    <cellStyle name="Comma [0] 2 2 2 2 2 2 2 2 3 7 4" xfId="1114" xr:uid="{00000000-0005-0000-0000-00007E010000}"/>
    <cellStyle name="Comma [0] 2 2 2 2 2 2 2 2 3 8" xfId="579" xr:uid="{00000000-0005-0000-0000-00007F010000}"/>
    <cellStyle name="Comma [0] 2 2 2 2 2 2 2 2 3 8 2" xfId="895" xr:uid="{00000000-0005-0000-0000-000080010000}"/>
    <cellStyle name="Comma [0] 2 2 2 2 2 2 2 2 3 9" xfId="1030" xr:uid="{00000000-0005-0000-0000-000081010000}"/>
    <cellStyle name="Comma [0] 2 2 2 2 2 2 2 2 4" xfId="464" xr:uid="{00000000-0005-0000-0000-000082010000}"/>
    <cellStyle name="Comma [0] 2 2 2 2 2 2 2 2 5" xfId="471" xr:uid="{00000000-0005-0000-0000-000083010000}"/>
    <cellStyle name="Comma [0] 2 2 2 2 2 2 2 2 6" xfId="455" xr:uid="{00000000-0005-0000-0000-000084010000}"/>
    <cellStyle name="Comma [0] 2 2 2 2 2 2 2 2 7" xfId="328" xr:uid="{00000000-0005-0000-0000-000085010000}"/>
    <cellStyle name="Comma [0] 2 2 2 2 2 2 2 2 7 2" xfId="564" xr:uid="{00000000-0005-0000-0000-000086010000}"/>
    <cellStyle name="Comma [0] 2 2 2 2 2 2 2 2 7 2 2" xfId="854" xr:uid="{00000000-0005-0000-0000-000087010000}"/>
    <cellStyle name="Comma [0] 2 2 2 2 2 2 2 2 7 2 2 2" xfId="938" xr:uid="{00000000-0005-0000-0000-000088010000}"/>
    <cellStyle name="Comma [0] 2 2 2 2 2 2 2 2 7 2 3" xfId="1029" xr:uid="{00000000-0005-0000-0000-000089010000}"/>
    <cellStyle name="Comma [0] 2 2 2 2 2 2 2 2 7 2 4" xfId="432" xr:uid="{00000000-0005-0000-0000-00008A010000}"/>
    <cellStyle name="Comma [0] 2 2 2 2 2 2 2 2 7 3" xfId="725" xr:uid="{00000000-0005-0000-0000-00008B010000}"/>
    <cellStyle name="Comma [0] 2 2 2 2 2 2 2 2 7 4" xfId="622" xr:uid="{00000000-0005-0000-0000-00008C010000}"/>
    <cellStyle name="Comma [0] 2 2 2 2 2 2 2 2 7 4 2" xfId="370" xr:uid="{00000000-0005-0000-0000-00008D010000}"/>
    <cellStyle name="Comma [0] 2 2 2 2 2 2 2 2 7 5" xfId="937" xr:uid="{00000000-0005-0000-0000-00008E010000}"/>
    <cellStyle name="Comma [0] 2 2 2 2 2 2 2 2 8" xfId="577" xr:uid="{00000000-0005-0000-0000-00008F010000}"/>
    <cellStyle name="Comma [0] 2 2 2 2 2 2 2 2 9" xfId="653" xr:uid="{00000000-0005-0000-0000-000090010000}"/>
    <cellStyle name="Comma [0] 2 2 2 2 2 2 2 20" xfId="983" xr:uid="{00000000-0005-0000-0000-000091010000}"/>
    <cellStyle name="Comma [0] 2 2 2 2 2 2 2 3" xfId="256" xr:uid="{00000000-0005-0000-0000-000092010000}"/>
    <cellStyle name="Comma [0] 2 2 2 2 2 2 2 4" xfId="265" xr:uid="{00000000-0005-0000-0000-000093010000}"/>
    <cellStyle name="Comma [0] 2 2 2 2 2 2 2 5" xfId="271" xr:uid="{00000000-0005-0000-0000-000094010000}"/>
    <cellStyle name="Comma [0] 2 2 2 2 2 2 2 6" xfId="275" xr:uid="{00000000-0005-0000-0000-000095010000}"/>
    <cellStyle name="Comma [0] 2 2 2 2 2 2 2 7" xfId="278" xr:uid="{00000000-0005-0000-0000-000096010000}"/>
    <cellStyle name="Comma [0] 2 2 2 2 2 2 2 8" xfId="248" xr:uid="{00000000-0005-0000-0000-000097010000}"/>
    <cellStyle name="Comma [0] 2 2 2 2 2 2 2 9" xfId="348" xr:uid="{00000000-0005-0000-0000-000098010000}"/>
    <cellStyle name="Comma [0] 2 2 2 2 2 2 2 9 2" xfId="458" xr:uid="{00000000-0005-0000-0000-000099010000}"/>
    <cellStyle name="Comma [0] 2 2 2 2 2 2 2 9 2 2" xfId="617" xr:uid="{00000000-0005-0000-0000-00009A010000}"/>
    <cellStyle name="Comma [0] 2 2 2 2 2 2 2 9 2 2 2" xfId="644" xr:uid="{00000000-0005-0000-0000-00009B010000}"/>
    <cellStyle name="Comma [0] 2 2 2 2 2 2 2 9 2 2 2 2" xfId="963" xr:uid="{00000000-0005-0000-0000-00009C010000}"/>
    <cellStyle name="Comma [0] 2 2 2 2 2 2 2 9 2 2 2 2 2" xfId="979" xr:uid="{00000000-0005-0000-0000-00009D010000}"/>
    <cellStyle name="Comma [0] 2 2 2 2 2 2 2 9 2 2 2 3" xfId="1062" xr:uid="{00000000-0005-0000-0000-00009E010000}"/>
    <cellStyle name="Comma [0] 2 2 2 2 2 2 2 9 2 2 2 4" xfId="1109" xr:uid="{00000000-0005-0000-0000-00009F010000}"/>
    <cellStyle name="Comma [0] 2 2 2 2 2 2 2 9 2 2 3" xfId="763" xr:uid="{00000000-0005-0000-0000-0000A0010000}"/>
    <cellStyle name="Comma [0] 2 2 2 2 2 2 2 9 2 2 4" xfId="817" xr:uid="{00000000-0005-0000-0000-0000A1010000}"/>
    <cellStyle name="Comma [0] 2 2 2 2 2 2 2 9 2 2 4 2" xfId="1049" xr:uid="{00000000-0005-0000-0000-0000A2010000}"/>
    <cellStyle name="Comma [0] 2 2 2 2 2 2 2 9 2 2 5" xfId="1097" xr:uid="{00000000-0005-0000-0000-0000A3010000}"/>
    <cellStyle name="Comma [0] 2 2 2 2 2 2 2 9 2 3" xfId="671" xr:uid="{00000000-0005-0000-0000-0000A4010000}"/>
    <cellStyle name="Comma [0] 2 2 2 2 2 2 2 9 2 4" xfId="684" xr:uid="{00000000-0005-0000-0000-0000A5010000}"/>
    <cellStyle name="Comma [0] 2 2 2 2 2 2 2 9 2 5" xfId="693" xr:uid="{00000000-0005-0000-0000-0000A6010000}"/>
    <cellStyle name="Comma [0] 2 2 2 2 2 2 2 9 2 6" xfId="701" xr:uid="{00000000-0005-0000-0000-0000A7010000}"/>
    <cellStyle name="Comma [0] 2 2 2 2 2 2 2 9 2 7" xfId="749" xr:uid="{00000000-0005-0000-0000-0000A8010000}"/>
    <cellStyle name="Comma [0] 2 2 2 2 2 2 2 9 2 7 2" xfId="897" xr:uid="{00000000-0005-0000-0000-0000A9010000}"/>
    <cellStyle name="Comma [0] 2 2 2 2 2 2 2 9 2 7 2 2" xfId="1005" xr:uid="{00000000-0005-0000-0000-0000AA010000}"/>
    <cellStyle name="Comma [0] 2 2 2 2 2 2 2 9 2 7 3" xfId="1087" xr:uid="{00000000-0005-0000-0000-0000AB010000}"/>
    <cellStyle name="Comma [0] 2 2 2 2 2 2 2 9 2 7 4" xfId="1121" xr:uid="{00000000-0005-0000-0000-0000AC010000}"/>
    <cellStyle name="Comma [0] 2 2 2 2 2 2 2 9 2 8" xfId="805" xr:uid="{00000000-0005-0000-0000-0000AD010000}"/>
    <cellStyle name="Comma [0] 2 2 2 2 2 2 2 9 2 8 2" xfId="795" xr:uid="{00000000-0005-0000-0000-0000AE010000}"/>
    <cellStyle name="Comma [0] 2 2 2 2 2 2 2 9 2 9" xfId="792" xr:uid="{00000000-0005-0000-0000-0000AF010000}"/>
    <cellStyle name="Comma [0] 2 2 2 2 2 2 2 9 3" xfId="542" xr:uid="{00000000-0005-0000-0000-0000B0010000}"/>
    <cellStyle name="Comma [0] 2 2 2 2 2 2 2 9 3 2" xfId="529" xr:uid="{00000000-0005-0000-0000-0000B1010000}"/>
    <cellStyle name="Comma [0] 2 2 2 2 2 2 2 9 3 2 2" xfId="928" xr:uid="{00000000-0005-0000-0000-0000B2010000}"/>
    <cellStyle name="Comma [0] 2 2 2 2 2 2 2 9 3 2 2 2" xfId="920" xr:uid="{00000000-0005-0000-0000-0000B3010000}"/>
    <cellStyle name="Comma [0] 2 2 2 2 2 2 2 9 3 2 3" xfId="1011" xr:uid="{00000000-0005-0000-0000-0000B4010000}"/>
    <cellStyle name="Comma [0] 2 2 2 2 2 2 2 9 3 2 4" xfId="735" xr:uid="{00000000-0005-0000-0000-0000B5010000}"/>
    <cellStyle name="Comma [0] 2 2 2 2 2 2 2 9 3 3" xfId="708" xr:uid="{00000000-0005-0000-0000-0000B6010000}"/>
    <cellStyle name="Comma [0] 2 2 2 2 2 2 2 9 3 4" xfId="734" xr:uid="{00000000-0005-0000-0000-0000B7010000}"/>
    <cellStyle name="Comma [0] 2 2 2 2 2 2 2 9 3 4 2" xfId="1019" xr:uid="{00000000-0005-0000-0000-0000B8010000}"/>
    <cellStyle name="Comma [0] 2 2 2 2 2 2 2 9 3 5" xfId="893" xr:uid="{00000000-0005-0000-0000-0000B9010000}"/>
    <cellStyle name="Comma [0] 2 2 2 2 2 2 2 9 4" xfId="521" xr:uid="{00000000-0005-0000-0000-0000BA010000}"/>
    <cellStyle name="Comma [0] 2 2 2 2 2 2 2 9 5" xfId="538" xr:uid="{00000000-0005-0000-0000-0000BB010000}"/>
    <cellStyle name="Comma [0] 2 2 2 2 2 2 2 9 6" xfId="596" xr:uid="{00000000-0005-0000-0000-0000BC010000}"/>
    <cellStyle name="Comma [0] 2 2 2 2 2 2 2 9 7" xfId="714" xr:uid="{00000000-0005-0000-0000-0000BD010000}"/>
    <cellStyle name="Comma [0] 2 2 2 2 2 2 2 9 7 2" xfId="767" xr:uid="{00000000-0005-0000-0000-0000BE010000}"/>
    <cellStyle name="Comma [0] 2 2 2 2 2 2 2 9 7 2 2" xfId="997" xr:uid="{00000000-0005-0000-0000-0000BF010000}"/>
    <cellStyle name="Comma [0] 2 2 2 2 2 2 2 9 7 3" xfId="1078" xr:uid="{00000000-0005-0000-0000-0000C0010000}"/>
    <cellStyle name="Comma [0] 2 2 2 2 2 2 2 9 7 4" xfId="1113" xr:uid="{00000000-0005-0000-0000-0000C1010000}"/>
    <cellStyle name="Comma [0] 2 2 2 2 2 2 2 9 8" xfId="707" xr:uid="{00000000-0005-0000-0000-0000C2010000}"/>
    <cellStyle name="Comma [0] 2 2 2 2 2 2 2 9 8 2" xfId="945" xr:uid="{00000000-0005-0000-0000-0000C3010000}"/>
    <cellStyle name="Comma [0] 2 2 2 2 2 2 2 9 9" xfId="1042" xr:uid="{00000000-0005-0000-0000-0000C4010000}"/>
    <cellStyle name="Comma [0] 2 2 2 2 2 2 20" xfId="678" xr:uid="{00000000-0005-0000-0000-0000C5010000}"/>
    <cellStyle name="Comma [0] 2 2 2 2 2 2 21" xfId="628" xr:uid="{00000000-0005-0000-0000-0000C6010000}"/>
    <cellStyle name="Comma [0] 2 2 2 2 2 2 21 2" xfId="853" xr:uid="{00000000-0005-0000-0000-0000C7010000}"/>
    <cellStyle name="Comma [0] 2 2 2 2 2 2 21 2 2" xfId="968" xr:uid="{00000000-0005-0000-0000-0000C8010000}"/>
    <cellStyle name="Comma [0] 2 2 2 2 2 2 21 3" xfId="1054" xr:uid="{00000000-0005-0000-0000-0000C9010000}"/>
    <cellStyle name="Comma [0] 2 2 2 2 2 2 21 4" xfId="1102" xr:uid="{00000000-0005-0000-0000-0000CA010000}"/>
    <cellStyle name="Comma [0] 2 2 2 2 2 2 22" xfId="751" xr:uid="{00000000-0005-0000-0000-0000CB010000}"/>
    <cellStyle name="Comma [0] 2 2 2 2 2 2 22 2" xfId="291" xr:uid="{00000000-0005-0000-0000-0000CC010000}"/>
    <cellStyle name="Comma [0] 2 2 2 2 2 2 23" xfId="943" xr:uid="{00000000-0005-0000-0000-0000CD010000}"/>
    <cellStyle name="Comma [0] 2 2 2 2 2 2 3" xfId="138" xr:uid="{00000000-0005-0000-0000-0000CE010000}"/>
    <cellStyle name="Comma [0] 2 2 2 2 2 2 4" xfId="192" xr:uid="{00000000-0005-0000-0000-0000CF010000}"/>
    <cellStyle name="Comma [0] 2 2 2 2 2 2 5" xfId="194" xr:uid="{00000000-0005-0000-0000-0000D0010000}"/>
    <cellStyle name="Comma [0] 2 2 2 2 2 2 6" xfId="203" xr:uid="{00000000-0005-0000-0000-0000D1010000}"/>
    <cellStyle name="Comma [0] 2 2 2 2 2 2 6 2" xfId="255" xr:uid="{00000000-0005-0000-0000-0000D2010000}"/>
    <cellStyle name="Comma [0] 2 2 2 2 2 2 7" xfId="257" xr:uid="{00000000-0005-0000-0000-0000D3010000}"/>
    <cellStyle name="Comma [0] 2 2 2 2 2 2 8" xfId="274" xr:uid="{00000000-0005-0000-0000-0000D4010000}"/>
    <cellStyle name="Comma [0] 2 2 2 2 2 2 9" xfId="277" xr:uid="{00000000-0005-0000-0000-0000D5010000}"/>
    <cellStyle name="Comma [0] 2 2 2 2 2 20" xfId="321" xr:uid="{00000000-0005-0000-0000-0000D6010000}"/>
    <cellStyle name="Comma [0] 2 2 2 2 2 20 2" xfId="540" xr:uid="{00000000-0005-0000-0000-0000D7010000}"/>
    <cellStyle name="Comma [0] 2 2 2 2 2 20 2 2" xfId="720" xr:uid="{00000000-0005-0000-0000-0000D8010000}"/>
    <cellStyle name="Comma [0] 2 2 2 2 2 20 2 2 2" xfId="926" xr:uid="{00000000-0005-0000-0000-0000D9010000}"/>
    <cellStyle name="Comma [0] 2 2 2 2 2 20 2 3" xfId="1017" xr:uid="{00000000-0005-0000-0000-0000DA010000}"/>
    <cellStyle name="Comma [0] 2 2 2 2 2 20 2 4" xfId="950" xr:uid="{00000000-0005-0000-0000-0000DB010000}"/>
    <cellStyle name="Comma [0] 2 2 2 2 2 20 3" xfId="712" xr:uid="{00000000-0005-0000-0000-0000DC010000}"/>
    <cellStyle name="Comma [0] 2 2 2 2 2 20 4" xfId="331" xr:uid="{00000000-0005-0000-0000-0000DD010000}"/>
    <cellStyle name="Comma [0] 2 2 2 2 2 20 4 2" xfId="851" xr:uid="{00000000-0005-0000-0000-0000DE010000}"/>
    <cellStyle name="Comma [0] 2 2 2 2 2 20 5" xfId="1037" xr:uid="{00000000-0005-0000-0000-0000DF010000}"/>
    <cellStyle name="Comma [0] 2 2 2 2 2 21" xfId="533" xr:uid="{00000000-0005-0000-0000-0000E0010000}"/>
    <cellStyle name="Comma [0] 2 2 2 2 2 22" xfId="592" xr:uid="{00000000-0005-0000-0000-0000E1010000}"/>
    <cellStyle name="Comma [0] 2 2 2 2 2 23" xfId="607" xr:uid="{00000000-0005-0000-0000-0000E2010000}"/>
    <cellStyle name="Comma [0] 2 2 2 2 2 24" xfId="604" xr:uid="{00000000-0005-0000-0000-0000E3010000}"/>
    <cellStyle name="Comma [0] 2 2 2 2 2 25" xfId="620" xr:uid="{00000000-0005-0000-0000-0000E4010000}"/>
    <cellStyle name="Comma [0] 2 2 2 2 2 25 2" xfId="820" xr:uid="{00000000-0005-0000-0000-0000E5010000}"/>
    <cellStyle name="Comma [0] 2 2 2 2 2 25 2 2" xfId="965" xr:uid="{00000000-0005-0000-0000-0000E6010000}"/>
    <cellStyle name="Comma [0] 2 2 2 2 2 25 3" xfId="1051" xr:uid="{00000000-0005-0000-0000-0000E7010000}"/>
    <cellStyle name="Comma [0] 2 2 2 2 2 25 4" xfId="1099" xr:uid="{00000000-0005-0000-0000-0000E8010000}"/>
    <cellStyle name="Comma [0] 2 2 2 2 2 26" xfId="747" xr:uid="{00000000-0005-0000-0000-0000E9010000}"/>
    <cellStyle name="Comma [0] 2 2 2 2 2 26 2" xfId="873" xr:uid="{00000000-0005-0000-0000-0000EA010000}"/>
    <cellStyle name="Comma [0] 2 2 2 2 2 27" xfId="870" xr:uid="{00000000-0005-0000-0000-0000EB010000}"/>
    <cellStyle name="Comma [0] 2 2 2 2 2 3" xfId="169" xr:uid="{00000000-0005-0000-0000-0000EC010000}"/>
    <cellStyle name="Comma [0] 2 2 2 2 2 4" xfId="161" xr:uid="{00000000-0005-0000-0000-0000ED010000}"/>
    <cellStyle name="Comma [0] 2 2 2 2 2 5" xfId="178" xr:uid="{00000000-0005-0000-0000-0000EE010000}"/>
    <cellStyle name="Comma [0] 2 2 2 2 2 6" xfId="179" xr:uid="{00000000-0005-0000-0000-0000EF010000}"/>
    <cellStyle name="Comma [0] 2 2 2 2 2 7" xfId="139" xr:uid="{00000000-0005-0000-0000-0000F0010000}"/>
    <cellStyle name="Comma [0] 2 2 2 2 2 8" xfId="188" xr:uid="{00000000-0005-0000-0000-0000F1010000}"/>
    <cellStyle name="Comma [0] 2 2 2 2 2 9" xfId="133" xr:uid="{00000000-0005-0000-0000-0000F2010000}"/>
    <cellStyle name="Comma [0] 2 2 2 2 20" xfId="477" xr:uid="{00000000-0005-0000-0000-0000F3010000}"/>
    <cellStyle name="Comma [0] 2 2 2 2 21" xfId="412" xr:uid="{00000000-0005-0000-0000-0000F4010000}"/>
    <cellStyle name="Comma [0] 2 2 2 2 21 2" xfId="600" xr:uid="{00000000-0005-0000-0000-0000F5010000}"/>
    <cellStyle name="Comma [0] 2 2 2 2 21 2 2" xfId="879" xr:uid="{00000000-0005-0000-0000-0000F6010000}"/>
    <cellStyle name="Comma [0] 2 2 2 2 21 2 2 2" xfId="953" xr:uid="{00000000-0005-0000-0000-0000F7010000}"/>
    <cellStyle name="Comma [0] 2 2 2 2 21 2 3" xfId="1040" xr:uid="{00000000-0005-0000-0000-0000F8010000}"/>
    <cellStyle name="Comma [0] 2 2 2 2 21 2 4" xfId="783" xr:uid="{00000000-0005-0000-0000-0000F9010000}"/>
    <cellStyle name="Comma [0] 2 2 2 2 21 3" xfId="738" xr:uid="{00000000-0005-0000-0000-0000FA010000}"/>
    <cellStyle name="Comma [0] 2 2 2 2 21 4" xfId="788" xr:uid="{00000000-0005-0000-0000-0000FB010000}"/>
    <cellStyle name="Comma [0] 2 2 2 2 21 4 2" xfId="711" xr:uid="{00000000-0005-0000-0000-0000FC010000}"/>
    <cellStyle name="Comma [0] 2 2 2 2 21 5" xfId="949" xr:uid="{00000000-0005-0000-0000-0000FD010000}"/>
    <cellStyle name="Comma [0] 2 2 2 2 22" xfId="597" xr:uid="{00000000-0005-0000-0000-0000FE010000}"/>
    <cellStyle name="Comma [0] 2 2 2 2 23" xfId="547" xr:uid="{00000000-0005-0000-0000-0000FF010000}"/>
    <cellStyle name="Comma [0] 2 2 2 2 24" xfId="660" xr:uid="{00000000-0005-0000-0000-000000020000}"/>
    <cellStyle name="Comma [0] 2 2 2 2 25" xfId="590" xr:uid="{00000000-0005-0000-0000-000001020000}"/>
    <cellStyle name="Comma [0] 2 2 2 2 26" xfId="503" xr:uid="{00000000-0005-0000-0000-000002020000}"/>
    <cellStyle name="Comma [0] 2 2 2 2 26 2" xfId="791" xr:uid="{00000000-0005-0000-0000-000003020000}"/>
    <cellStyle name="Comma [0] 2 2 2 2 26 2 2" xfId="911" xr:uid="{00000000-0005-0000-0000-000004020000}"/>
    <cellStyle name="Comma [0] 2 2 2 2 26 3" xfId="833" xr:uid="{00000000-0005-0000-0000-000005020000}"/>
    <cellStyle name="Comma [0] 2 2 2 2 26 4" xfId="1069" xr:uid="{00000000-0005-0000-0000-000006020000}"/>
    <cellStyle name="Comma [0] 2 2 2 2 27" xfId="772" xr:uid="{00000000-0005-0000-0000-000007020000}"/>
    <cellStyle name="Comma [0] 2 2 2 2 27 2" xfId="790" xr:uid="{00000000-0005-0000-0000-000008020000}"/>
    <cellStyle name="Comma [0] 2 2 2 2 28" xfId="892" xr:uid="{00000000-0005-0000-0000-000009020000}"/>
    <cellStyle name="Comma [0] 2 2 2 2 3" xfId="61" xr:uid="{00000000-0005-0000-0000-00000A020000}"/>
    <cellStyle name="Comma [0] 2 2 2 2 4" xfId="122" xr:uid="{00000000-0005-0000-0000-00000B020000}"/>
    <cellStyle name="Comma [0] 2 2 2 2 4 2" xfId="168" xr:uid="{00000000-0005-0000-0000-00000C020000}"/>
    <cellStyle name="Comma [0] 2 2 2 2 4 3" xfId="189" xr:uid="{00000000-0005-0000-0000-00000D020000}"/>
    <cellStyle name="Comma [0] 2 2 2 2 4 4" xfId="190" xr:uid="{00000000-0005-0000-0000-00000E020000}"/>
    <cellStyle name="Comma [0] 2 2 2 2 4 5" xfId="126" xr:uid="{00000000-0005-0000-0000-00000F020000}"/>
    <cellStyle name="Comma [0] 2 2 2 2 5" xfId="171" xr:uid="{00000000-0005-0000-0000-000010020000}"/>
    <cellStyle name="Comma [0] 2 2 2 2 6" xfId="159" xr:uid="{00000000-0005-0000-0000-000011020000}"/>
    <cellStyle name="Comma [0] 2 2 2 2 7" xfId="157" xr:uid="{00000000-0005-0000-0000-000012020000}"/>
    <cellStyle name="Comma [0] 2 2 2 2 8" xfId="120" xr:uid="{00000000-0005-0000-0000-000013020000}"/>
    <cellStyle name="Comma [0] 2 2 2 2 9" xfId="191" xr:uid="{00000000-0005-0000-0000-000014020000}"/>
    <cellStyle name="Comma [0] 2 2 2 20" xfId="234" xr:uid="{00000000-0005-0000-0000-000015020000}"/>
    <cellStyle name="Comma [0] 2 2 2 21" xfId="262" xr:uid="{00000000-0005-0000-0000-000016020000}"/>
    <cellStyle name="Comma [0] 2 2 2 22" xfId="273" xr:uid="{00000000-0005-0000-0000-000017020000}"/>
    <cellStyle name="Comma [0] 2 2 2 23" xfId="279" xr:uid="{00000000-0005-0000-0000-000018020000}"/>
    <cellStyle name="Comma [0] 2 2 2 24" xfId="285" xr:uid="{00000000-0005-0000-0000-000019020000}"/>
    <cellStyle name="Comma [0] 2 2 2 24 2" xfId="438" xr:uid="{00000000-0005-0000-0000-00001A020000}"/>
    <cellStyle name="Comma [0] 2 2 2 24 2 2" xfId="612" xr:uid="{00000000-0005-0000-0000-00001B020000}"/>
    <cellStyle name="Comma [0] 2 2 2 24 2 2 2" xfId="634" xr:uid="{00000000-0005-0000-0000-00001C020000}"/>
    <cellStyle name="Comma [0] 2 2 2 24 2 2 2 2" xfId="959" xr:uid="{00000000-0005-0000-0000-00001D020000}"/>
    <cellStyle name="Comma [0] 2 2 2 24 2 2 2 2 2" xfId="971" xr:uid="{00000000-0005-0000-0000-00001E020000}"/>
    <cellStyle name="Comma [0] 2 2 2 24 2 2 2 3" xfId="1057" xr:uid="{00000000-0005-0000-0000-00001F020000}"/>
    <cellStyle name="Comma [0] 2 2 2 24 2 2 2 4" xfId="1105" xr:uid="{00000000-0005-0000-0000-000020020000}"/>
    <cellStyle name="Comma [0] 2 2 2 24 2 2 3" xfId="758" xr:uid="{00000000-0005-0000-0000-000021020000}"/>
    <cellStyle name="Comma [0] 2 2 2 24 2 2 4" xfId="811" xr:uid="{00000000-0005-0000-0000-000022020000}"/>
    <cellStyle name="Comma [0] 2 2 2 24 2 2 4 2" xfId="1045" xr:uid="{00000000-0005-0000-0000-000023020000}"/>
    <cellStyle name="Comma [0] 2 2 2 24 2 2 5" xfId="1093" xr:uid="{00000000-0005-0000-0000-000024020000}"/>
    <cellStyle name="Comma [0] 2 2 2 24 2 3" xfId="662" xr:uid="{00000000-0005-0000-0000-000025020000}"/>
    <cellStyle name="Comma [0] 2 2 2 24 2 4" xfId="523" xr:uid="{00000000-0005-0000-0000-000026020000}"/>
    <cellStyle name="Comma [0] 2 2 2 24 2 5" xfId="555" xr:uid="{00000000-0005-0000-0000-000027020000}"/>
    <cellStyle name="Comma [0] 2 2 2 24 2 6" xfId="513" xr:uid="{00000000-0005-0000-0000-000028020000}"/>
    <cellStyle name="Comma [0] 2 2 2 24 2 7" xfId="743" xr:uid="{00000000-0005-0000-0000-000029020000}"/>
    <cellStyle name="Comma [0] 2 2 2 24 2 7 2" xfId="886" xr:uid="{00000000-0005-0000-0000-00002A020000}"/>
    <cellStyle name="Comma [0] 2 2 2 24 2 7 2 2" xfId="1001" xr:uid="{00000000-0005-0000-0000-00002B020000}"/>
    <cellStyle name="Comma [0] 2 2 2 24 2 7 3" xfId="1083" xr:uid="{00000000-0005-0000-0000-00002C020000}"/>
    <cellStyle name="Comma [0] 2 2 2 24 2 7 4" xfId="1117" xr:uid="{00000000-0005-0000-0000-00002D020000}"/>
    <cellStyle name="Comma [0] 2 2 2 24 2 8" xfId="801" xr:uid="{00000000-0005-0000-0000-00002E020000}"/>
    <cellStyle name="Comma [0] 2 2 2 24 2 8 2" xfId="900" xr:uid="{00000000-0005-0000-0000-00002F020000}"/>
    <cellStyle name="Comma [0] 2 2 2 24 2 9" xfId="1036" xr:uid="{00000000-0005-0000-0000-000030020000}"/>
    <cellStyle name="Comma [0] 2 2 2 24 3" xfId="499" xr:uid="{00000000-0005-0000-0000-000031020000}"/>
    <cellStyle name="Comma [0] 2 2 2 24 3 2" xfId="545" xr:uid="{00000000-0005-0000-0000-000032020000}"/>
    <cellStyle name="Comma [0] 2 2 2 24 3 2 2" xfId="909" xr:uid="{00000000-0005-0000-0000-000033020000}"/>
    <cellStyle name="Comma [0] 2 2 2 24 3 2 2 2" xfId="929" xr:uid="{00000000-0005-0000-0000-000034020000}"/>
    <cellStyle name="Comma [0] 2 2 2 24 3 2 3" xfId="1020" xr:uid="{00000000-0005-0000-0000-000035020000}"/>
    <cellStyle name="Comma [0] 2 2 2 24 3 2 4" xfId="819" xr:uid="{00000000-0005-0000-0000-000036020000}"/>
    <cellStyle name="Comma [0] 2 2 2 24 3 3" xfId="716" xr:uid="{00000000-0005-0000-0000-000037020000}"/>
    <cellStyle name="Comma [0] 2 2 2 24 3 4" xfId="770" xr:uid="{00000000-0005-0000-0000-000038020000}"/>
    <cellStyle name="Comma [0] 2 2 2 24 3 4 2" xfId="863" xr:uid="{00000000-0005-0000-0000-000039020000}"/>
    <cellStyle name="Comma [0] 2 2 2 24 3 5" xfId="1060" xr:uid="{00000000-0005-0000-0000-00003A020000}"/>
    <cellStyle name="Comma [0] 2 2 2 24 4" xfId="636" xr:uid="{00000000-0005-0000-0000-00003B020000}"/>
    <cellStyle name="Comma [0] 2 2 2 24 5" xfId="566" xr:uid="{00000000-0005-0000-0000-00003C020000}"/>
    <cellStyle name="Comma [0] 2 2 2 24 6" xfId="605" xr:uid="{00000000-0005-0000-0000-00003D020000}"/>
    <cellStyle name="Comma [0] 2 2 2 24 7" xfId="337" xr:uid="{00000000-0005-0000-0000-00003E020000}"/>
    <cellStyle name="Comma [0] 2 2 2 24 7 2" xfId="778" xr:uid="{00000000-0005-0000-0000-00003F020000}"/>
    <cellStyle name="Comma [0] 2 2 2 24 7 2 2" xfId="765" xr:uid="{00000000-0005-0000-0000-000040020000}"/>
    <cellStyle name="Comma [0] 2 2 2 24 7 3" xfId="993" xr:uid="{00000000-0005-0000-0000-000041020000}"/>
    <cellStyle name="Comma [0] 2 2 2 24 7 4" xfId="845" xr:uid="{00000000-0005-0000-0000-000042020000}"/>
    <cellStyle name="Comma [0] 2 2 2 24 8" xfId="740" xr:uid="{00000000-0005-0000-0000-000043020000}"/>
    <cellStyle name="Comma [0] 2 2 2 24 8 2" xfId="492" xr:uid="{00000000-0005-0000-0000-000044020000}"/>
    <cellStyle name="Comma [0] 2 2 2 24 9" xfId="828" xr:uid="{00000000-0005-0000-0000-000045020000}"/>
    <cellStyle name="Comma [0] 2 2 2 25" xfId="473" xr:uid="{00000000-0005-0000-0000-000046020000}"/>
    <cellStyle name="Comma [0] 2 2 2 26" xfId="452" xr:uid="{00000000-0005-0000-0000-000047020000}"/>
    <cellStyle name="Comma [0] 2 2 2 27" xfId="441" xr:uid="{00000000-0005-0000-0000-000048020000}"/>
    <cellStyle name="Comma [0] 2 2 2 28" xfId="403" xr:uid="{00000000-0005-0000-0000-000049020000}"/>
    <cellStyle name="Comma [0] 2 2 2 28 2" xfId="553" xr:uid="{00000000-0005-0000-0000-00004A020000}"/>
    <cellStyle name="Comma [0] 2 2 2 28 2 2" xfId="877" xr:uid="{00000000-0005-0000-0000-00004B020000}"/>
    <cellStyle name="Comma [0] 2 2 2 28 2 2 2" xfId="934" xr:uid="{00000000-0005-0000-0000-00004C020000}"/>
    <cellStyle name="Comma [0] 2 2 2 28 2 3" xfId="1025" xr:uid="{00000000-0005-0000-0000-00004D020000}"/>
    <cellStyle name="Comma [0] 2 2 2 28 2 4" xfId="411" xr:uid="{00000000-0005-0000-0000-00004E020000}"/>
    <cellStyle name="Comma [0] 2 2 2 28 3" xfId="719" xr:uid="{00000000-0005-0000-0000-00004F020000}"/>
    <cellStyle name="Comma [0] 2 2 2 28 4" xfId="769" xr:uid="{00000000-0005-0000-0000-000050020000}"/>
    <cellStyle name="Comma [0] 2 2 2 28 4 2" xfId="925" xr:uid="{00000000-0005-0000-0000-000051020000}"/>
    <cellStyle name="Comma [0] 2 2 2 28 5" xfId="506" xr:uid="{00000000-0005-0000-0000-000052020000}"/>
    <cellStyle name="Comma [0] 2 2 2 29" xfId="575" xr:uid="{00000000-0005-0000-0000-000053020000}"/>
    <cellStyle name="Comma [0] 2 2 2 3" xfId="77" xr:uid="{00000000-0005-0000-0000-000054020000}"/>
    <cellStyle name="Comma [0] 2 2 2 30" xfId="645" xr:uid="{00000000-0005-0000-0000-000055020000}"/>
    <cellStyle name="Comma [0] 2 2 2 31" xfId="595" xr:uid="{00000000-0005-0000-0000-000056020000}"/>
    <cellStyle name="Comma [0] 2 2 2 32" xfId="606" xr:uid="{00000000-0005-0000-0000-000057020000}"/>
    <cellStyle name="Comma [0] 2 2 2 33" xfId="500" xr:uid="{00000000-0005-0000-0000-000058020000}"/>
    <cellStyle name="Comma [0] 2 2 2 33 2" xfId="333" xr:uid="{00000000-0005-0000-0000-000059020000}"/>
    <cellStyle name="Comma [0] 2 2 2 33 2 2" xfId="910" xr:uid="{00000000-0005-0000-0000-00005A020000}"/>
    <cellStyle name="Comma [0] 2 2 2 33 3" xfId="798" xr:uid="{00000000-0005-0000-0000-00005B020000}"/>
    <cellStyle name="Comma [0] 2 2 2 33 4" xfId="782" xr:uid="{00000000-0005-0000-0000-00005C020000}"/>
    <cellStyle name="Comma [0] 2 2 2 34" xfId="776" xr:uid="{00000000-0005-0000-0000-00005D020000}"/>
    <cellStyle name="Comma [0] 2 2 2 34 2" xfId="902" xr:uid="{00000000-0005-0000-0000-00005E020000}"/>
    <cellStyle name="Comma [0] 2 2 2 35" xfId="385" xr:uid="{00000000-0005-0000-0000-00005F020000}"/>
    <cellStyle name="Comma [0] 2 2 2 4" xfId="94" xr:uid="{00000000-0005-0000-0000-000060020000}"/>
    <cellStyle name="Comma [0] 2 2 2 5" xfId="102" xr:uid="{00000000-0005-0000-0000-000061020000}"/>
    <cellStyle name="Comma [0] 2 2 2 6" xfId="101" xr:uid="{00000000-0005-0000-0000-000062020000}"/>
    <cellStyle name="Comma [0] 2 2 2 7" xfId="98" xr:uid="{00000000-0005-0000-0000-000063020000}"/>
    <cellStyle name="Comma [0] 2 2 2 8" xfId="75" xr:uid="{00000000-0005-0000-0000-000064020000}"/>
    <cellStyle name="Comma [0] 2 2 2 9" xfId="96" xr:uid="{00000000-0005-0000-0000-000065020000}"/>
    <cellStyle name="Comma [0] 2 2 20" xfId="245" xr:uid="{00000000-0005-0000-0000-000066020000}"/>
    <cellStyle name="Comma [0] 2 2 21" xfId="272" xr:uid="{00000000-0005-0000-0000-000067020000}"/>
    <cellStyle name="Comma [0] 2 2 22" xfId="276" xr:uid="{00000000-0005-0000-0000-000068020000}"/>
    <cellStyle name="Comma [0] 2 2 23" xfId="239" xr:uid="{00000000-0005-0000-0000-000069020000}"/>
    <cellStyle name="Comma [0] 2 2 24" xfId="284" xr:uid="{00000000-0005-0000-0000-00006A020000}"/>
    <cellStyle name="Comma [0] 2 2 24 2" xfId="437" xr:uid="{00000000-0005-0000-0000-00006B020000}"/>
    <cellStyle name="Comma [0] 2 2 24 2 2" xfId="611" xr:uid="{00000000-0005-0000-0000-00006C020000}"/>
    <cellStyle name="Comma [0] 2 2 24 2 2 2" xfId="633" xr:uid="{00000000-0005-0000-0000-00006D020000}"/>
    <cellStyle name="Comma [0] 2 2 24 2 2 2 2" xfId="958" xr:uid="{00000000-0005-0000-0000-00006E020000}"/>
    <cellStyle name="Comma [0] 2 2 24 2 2 2 2 2" xfId="970" xr:uid="{00000000-0005-0000-0000-00006F020000}"/>
    <cellStyle name="Comma [0] 2 2 24 2 2 2 3" xfId="1056" xr:uid="{00000000-0005-0000-0000-000070020000}"/>
    <cellStyle name="Comma [0] 2 2 24 2 2 2 4" xfId="1104" xr:uid="{00000000-0005-0000-0000-000071020000}"/>
    <cellStyle name="Comma [0] 2 2 24 2 2 3" xfId="757" xr:uid="{00000000-0005-0000-0000-000072020000}"/>
    <cellStyle name="Comma [0] 2 2 24 2 2 4" xfId="810" xr:uid="{00000000-0005-0000-0000-000073020000}"/>
    <cellStyle name="Comma [0] 2 2 24 2 2 4 2" xfId="1044" xr:uid="{00000000-0005-0000-0000-000074020000}"/>
    <cellStyle name="Comma [0] 2 2 24 2 2 5" xfId="1092" xr:uid="{00000000-0005-0000-0000-000075020000}"/>
    <cellStyle name="Comma [0] 2 2 24 2 3" xfId="661" xr:uid="{00000000-0005-0000-0000-000076020000}"/>
    <cellStyle name="Comma [0] 2 2 24 2 4" xfId="580" xr:uid="{00000000-0005-0000-0000-000077020000}"/>
    <cellStyle name="Comma [0] 2 2 24 2 5" xfId="556" xr:uid="{00000000-0005-0000-0000-000078020000}"/>
    <cellStyle name="Comma [0] 2 2 24 2 6" xfId="530" xr:uid="{00000000-0005-0000-0000-000079020000}"/>
    <cellStyle name="Comma [0] 2 2 24 2 7" xfId="742" xr:uid="{00000000-0005-0000-0000-00007A020000}"/>
    <cellStyle name="Comma [0] 2 2 24 2 7 2" xfId="885" xr:uid="{00000000-0005-0000-0000-00007B020000}"/>
    <cellStyle name="Comma [0] 2 2 24 2 7 2 2" xfId="1000" xr:uid="{00000000-0005-0000-0000-00007C020000}"/>
    <cellStyle name="Comma [0] 2 2 24 2 7 3" xfId="1082" xr:uid="{00000000-0005-0000-0000-00007D020000}"/>
    <cellStyle name="Comma [0] 2 2 24 2 7 4" xfId="1116" xr:uid="{00000000-0005-0000-0000-00007E020000}"/>
    <cellStyle name="Comma [0] 2 2 24 2 8" xfId="800" xr:uid="{00000000-0005-0000-0000-00007F020000}"/>
    <cellStyle name="Comma [0] 2 2 24 2 8 2" xfId="848" xr:uid="{00000000-0005-0000-0000-000080020000}"/>
    <cellStyle name="Comma [0] 2 2 24 2 9" xfId="1065" xr:uid="{00000000-0005-0000-0000-000081020000}"/>
    <cellStyle name="Comma [0] 2 2 24 3" xfId="498" xr:uid="{00000000-0005-0000-0000-000082020000}"/>
    <cellStyle name="Comma [0] 2 2 24 3 2" xfId="573" xr:uid="{00000000-0005-0000-0000-000083020000}"/>
    <cellStyle name="Comma [0] 2 2 24 3 2 2" xfId="908" xr:uid="{00000000-0005-0000-0000-000084020000}"/>
    <cellStyle name="Comma [0] 2 2 24 3 2 2 2" xfId="942" xr:uid="{00000000-0005-0000-0000-000085020000}"/>
    <cellStyle name="Comma [0] 2 2 24 3 2 3" xfId="1033" xr:uid="{00000000-0005-0000-0000-000086020000}"/>
    <cellStyle name="Comma [0] 2 2 24 3 2 4" xfId="982" xr:uid="{00000000-0005-0000-0000-000087020000}"/>
    <cellStyle name="Comma [0] 2 2 24 3 3" xfId="730" xr:uid="{00000000-0005-0000-0000-000088020000}"/>
    <cellStyle name="Comma [0] 2 2 24 3 4" xfId="322" xr:uid="{00000000-0005-0000-0000-000089020000}"/>
    <cellStyle name="Comma [0] 2 2 24 3 4 2" xfId="405" xr:uid="{00000000-0005-0000-0000-00008A020000}"/>
    <cellStyle name="Comma [0] 2 2 24 3 5" xfId="1016" xr:uid="{00000000-0005-0000-0000-00008B020000}"/>
    <cellStyle name="Comma [0] 2 2 24 4" xfId="608" xr:uid="{00000000-0005-0000-0000-00008C020000}"/>
    <cellStyle name="Comma [0] 2 2 24 5" xfId="558" xr:uid="{00000000-0005-0000-0000-00008D020000}"/>
    <cellStyle name="Comma [0] 2 2 24 6" xfId="563" xr:uid="{00000000-0005-0000-0000-00008E020000}"/>
    <cellStyle name="Comma [0] 2 2 24 7" xfId="421" xr:uid="{00000000-0005-0000-0000-00008F020000}"/>
    <cellStyle name="Comma [0] 2 2 24 7 2" xfId="830" xr:uid="{00000000-0005-0000-0000-000090020000}"/>
    <cellStyle name="Comma [0] 2 2 24 7 2 2" xfId="880" xr:uid="{00000000-0005-0000-0000-000091020000}"/>
    <cellStyle name="Comma [0] 2 2 24 7 3" xfId="977" xr:uid="{00000000-0005-0000-0000-000092020000}"/>
    <cellStyle name="Comma [0] 2 2 24 7 4" xfId="1076" xr:uid="{00000000-0005-0000-0000-000093020000}"/>
    <cellStyle name="Comma [0] 2 2 24 8" xfId="310" xr:uid="{00000000-0005-0000-0000-000094020000}"/>
    <cellStyle name="Comma [0] 2 2 24 8 2" xfId="786" xr:uid="{00000000-0005-0000-0000-000095020000}"/>
    <cellStyle name="Comma [0] 2 2 24 9" xfId="581" xr:uid="{00000000-0005-0000-0000-000096020000}"/>
    <cellStyle name="Comma [0] 2 2 25" xfId="476" xr:uid="{00000000-0005-0000-0000-000097020000}"/>
    <cellStyle name="Comma [0] 2 2 26" xfId="454" xr:uid="{00000000-0005-0000-0000-000098020000}"/>
    <cellStyle name="Comma [0] 2 2 27" xfId="453" xr:uid="{00000000-0005-0000-0000-000099020000}"/>
    <cellStyle name="Comma [0] 2 2 28" xfId="295" xr:uid="{00000000-0005-0000-0000-00009A020000}"/>
    <cellStyle name="Comma [0] 2 2 28 2" xfId="527" xr:uid="{00000000-0005-0000-0000-00009B020000}"/>
    <cellStyle name="Comma [0] 2 2 28 2 2" xfId="823" xr:uid="{00000000-0005-0000-0000-00009C020000}"/>
    <cellStyle name="Comma [0] 2 2 28 2 2 2" xfId="918" xr:uid="{00000000-0005-0000-0000-00009D020000}"/>
    <cellStyle name="Comma [0] 2 2 28 2 3" xfId="1009" xr:uid="{00000000-0005-0000-0000-00009E020000}"/>
    <cellStyle name="Comma [0] 2 2 28 2 4" xfId="849" xr:uid="{00000000-0005-0000-0000-00009F020000}"/>
    <cellStyle name="Comma [0] 2 2 28 3" xfId="706" xr:uid="{00000000-0005-0000-0000-0000A0020000}"/>
    <cellStyle name="Comma [0] 2 2 28 4" xfId="773" xr:uid="{00000000-0005-0000-0000-0000A1020000}"/>
    <cellStyle name="Comma [0] 2 2 28 4 2" xfId="948" xr:uid="{00000000-0005-0000-0000-0000A2020000}"/>
    <cellStyle name="Comma [0] 2 2 28 5" xfId="1008" xr:uid="{00000000-0005-0000-0000-0000A3020000}"/>
    <cellStyle name="Comma [0] 2 2 29" xfId="631" xr:uid="{00000000-0005-0000-0000-0000A4020000}"/>
    <cellStyle name="Comma [0] 2 2 3" xfId="54" xr:uid="{00000000-0005-0000-0000-0000A5020000}"/>
    <cellStyle name="Comma [0] 2 2 3 2" xfId="76" xr:uid="{00000000-0005-0000-0000-0000A6020000}"/>
    <cellStyle name="Comma [0] 2 2 3 3" xfId="118" xr:uid="{00000000-0005-0000-0000-0000A7020000}"/>
    <cellStyle name="Comma [0] 2 2 30" xfId="659" xr:uid="{00000000-0005-0000-0000-0000A8020000}"/>
    <cellStyle name="Comma [0] 2 2 31" xfId="507" xr:uid="{00000000-0005-0000-0000-0000A9020000}"/>
    <cellStyle name="Comma [0] 2 2 32" xfId="526" xr:uid="{00000000-0005-0000-0000-0000AA020000}"/>
    <cellStyle name="Comma [0] 2 2 33" xfId="311" xr:uid="{00000000-0005-0000-0000-0000AB020000}"/>
    <cellStyle name="Comma [0] 2 2 33 2" xfId="794" xr:uid="{00000000-0005-0000-0000-0000AC020000}"/>
    <cellStyle name="Comma [0] 2 2 33 2 2" xfId="297" xr:uid="{00000000-0005-0000-0000-0000AD020000}"/>
    <cellStyle name="Comma [0] 2 2 33 3" xfId="780" xr:uid="{00000000-0005-0000-0000-0000AE020000}"/>
    <cellStyle name="Comma [0] 2 2 33 4" xfId="1028" xr:uid="{00000000-0005-0000-0000-0000AF020000}"/>
    <cellStyle name="Comma [0] 2 2 34" xfId="312" xr:uid="{00000000-0005-0000-0000-0000B0020000}"/>
    <cellStyle name="Comma [0] 2 2 34 2" xfId="981" xr:uid="{00000000-0005-0000-0000-0000B1020000}"/>
    <cellStyle name="Comma [0] 2 2 35" xfId="1064" xr:uid="{00000000-0005-0000-0000-0000B2020000}"/>
    <cellStyle name="Comma [0] 2 2 4" xfId="79" xr:uid="{00000000-0005-0000-0000-0000B3020000}"/>
    <cellStyle name="Comma [0] 2 2 5" xfId="88" xr:uid="{00000000-0005-0000-0000-0000B4020000}"/>
    <cellStyle name="Comma [0] 2 2 6" xfId="105" xr:uid="{00000000-0005-0000-0000-0000B5020000}"/>
    <cellStyle name="Comma [0] 2 2 7" xfId="109" xr:uid="{00000000-0005-0000-0000-0000B6020000}"/>
    <cellStyle name="Comma [0] 2 2 8" xfId="113" xr:uid="{00000000-0005-0000-0000-0000B7020000}"/>
    <cellStyle name="Comma [0] 2 2 9" xfId="116" xr:uid="{00000000-0005-0000-0000-0000B8020000}"/>
    <cellStyle name="Comma [0] 2 20" xfId="59" xr:uid="{00000000-0005-0000-0000-0000B9020000}"/>
    <cellStyle name="Comma [0] 2 21" xfId="149" xr:uid="{00000000-0005-0000-0000-0000BA020000}"/>
    <cellStyle name="Comma [0] 2 22" xfId="158" xr:uid="{00000000-0005-0000-0000-0000BB020000}"/>
    <cellStyle name="Comma [0] 2 23" xfId="163" xr:uid="{00000000-0005-0000-0000-0000BC020000}"/>
    <cellStyle name="Comma [0] 2 24" xfId="165" xr:uid="{00000000-0005-0000-0000-0000BD020000}"/>
    <cellStyle name="Comma [0] 2 25" xfId="196" xr:uid="{00000000-0005-0000-0000-0000BE020000}"/>
    <cellStyle name="Comma [0] 2 25 2" xfId="219" xr:uid="{00000000-0005-0000-0000-0000BF020000}"/>
    <cellStyle name="Comma [0] 2 26" xfId="250" xr:uid="{00000000-0005-0000-0000-0000C0020000}"/>
    <cellStyle name="Comma [0] 2 27" xfId="233" xr:uid="{00000000-0005-0000-0000-0000C1020000}"/>
    <cellStyle name="Comma [0] 2 28" xfId="226" xr:uid="{00000000-0005-0000-0000-0000C2020000}"/>
    <cellStyle name="Comma [0] 2 29" xfId="247" xr:uid="{00000000-0005-0000-0000-0000C3020000}"/>
    <cellStyle name="Comma [0] 2 3" xfId="16" xr:uid="{00000000-0005-0000-0000-0000C4020000}"/>
    <cellStyle name="Comma [0] 2 30" xfId="252" xr:uid="{00000000-0005-0000-0000-0000C5020000}"/>
    <cellStyle name="Comma [0] 2 31" xfId="283" xr:uid="{00000000-0005-0000-0000-0000C6020000}"/>
    <cellStyle name="Comma [0] 2 31 2" xfId="434" xr:uid="{00000000-0005-0000-0000-0000C7020000}"/>
    <cellStyle name="Comma [0] 2 31 2 2" xfId="610" xr:uid="{00000000-0005-0000-0000-0000C8020000}"/>
    <cellStyle name="Comma [0] 2 31 2 2 2" xfId="630" xr:uid="{00000000-0005-0000-0000-0000C9020000}"/>
    <cellStyle name="Comma [0] 2 31 2 2 2 2" xfId="957" xr:uid="{00000000-0005-0000-0000-0000CA020000}"/>
    <cellStyle name="Comma [0] 2 31 2 2 2 2 2" xfId="969" xr:uid="{00000000-0005-0000-0000-0000CB020000}"/>
    <cellStyle name="Comma [0] 2 31 2 2 2 3" xfId="1055" xr:uid="{00000000-0005-0000-0000-0000CC020000}"/>
    <cellStyle name="Comma [0] 2 31 2 2 2 4" xfId="1103" xr:uid="{00000000-0005-0000-0000-0000CD020000}"/>
    <cellStyle name="Comma [0] 2 31 2 2 3" xfId="755" xr:uid="{00000000-0005-0000-0000-0000CE020000}"/>
    <cellStyle name="Comma [0] 2 31 2 2 4" xfId="809" xr:uid="{00000000-0005-0000-0000-0000CF020000}"/>
    <cellStyle name="Comma [0] 2 31 2 2 4 2" xfId="1043" xr:uid="{00000000-0005-0000-0000-0000D0020000}"/>
    <cellStyle name="Comma [0] 2 31 2 2 5" xfId="1091" xr:uid="{00000000-0005-0000-0000-0000D1020000}"/>
    <cellStyle name="Comma [0] 2 31 2 3" xfId="658" xr:uid="{00000000-0005-0000-0000-0000D2020000}"/>
    <cellStyle name="Comma [0] 2 31 2 4" xfId="536" xr:uid="{00000000-0005-0000-0000-0000D3020000}"/>
    <cellStyle name="Comma [0] 2 31 2 5" xfId="582" xr:uid="{00000000-0005-0000-0000-0000D4020000}"/>
    <cellStyle name="Comma [0] 2 31 2 6" xfId="603" xr:uid="{00000000-0005-0000-0000-0000D5020000}"/>
    <cellStyle name="Comma [0] 2 31 2 7" xfId="741" xr:uid="{00000000-0005-0000-0000-0000D6020000}"/>
    <cellStyle name="Comma [0] 2 31 2 7 2" xfId="884" xr:uid="{00000000-0005-0000-0000-0000D7020000}"/>
    <cellStyle name="Comma [0] 2 31 2 7 2 2" xfId="999" xr:uid="{00000000-0005-0000-0000-0000D8020000}"/>
    <cellStyle name="Comma [0] 2 31 2 7 3" xfId="1081" xr:uid="{00000000-0005-0000-0000-0000D9020000}"/>
    <cellStyle name="Comma [0] 2 31 2 7 4" xfId="1115" xr:uid="{00000000-0005-0000-0000-0000DA020000}"/>
    <cellStyle name="Comma [0] 2 31 2 8" xfId="799" xr:uid="{00000000-0005-0000-0000-0000DB020000}"/>
    <cellStyle name="Comma [0] 2 31 2 8 2" xfId="856" xr:uid="{00000000-0005-0000-0000-0000DC020000}"/>
    <cellStyle name="Comma [0] 2 31 2 9" xfId="939" xr:uid="{00000000-0005-0000-0000-0000DD020000}"/>
    <cellStyle name="Comma [0] 2 31 3" xfId="496" xr:uid="{00000000-0005-0000-0000-0000DE020000}"/>
    <cellStyle name="Comma [0] 2 31 3 2" xfId="601" xr:uid="{00000000-0005-0000-0000-0000DF020000}"/>
    <cellStyle name="Comma [0] 2 31 3 2 2" xfId="907" xr:uid="{00000000-0005-0000-0000-0000E0020000}"/>
    <cellStyle name="Comma [0] 2 31 3 2 2 2" xfId="954" xr:uid="{00000000-0005-0000-0000-0000E1020000}"/>
    <cellStyle name="Comma [0] 2 31 3 2 3" xfId="1041" xr:uid="{00000000-0005-0000-0000-0000E2020000}"/>
    <cellStyle name="Comma [0] 2 31 3 2 4" xfId="715" xr:uid="{00000000-0005-0000-0000-0000E3020000}"/>
    <cellStyle name="Comma [0] 2 31 3 3" xfId="739" xr:uid="{00000000-0005-0000-0000-0000E4020000}"/>
    <cellStyle name="Comma [0] 2 31 3 4" xfId="789" xr:uid="{00000000-0005-0000-0000-0000E5020000}"/>
    <cellStyle name="Comma [0] 2 31 3 4 2" xfId="835" xr:uid="{00000000-0005-0000-0000-0000E6020000}"/>
    <cellStyle name="Comma [0] 2 31 3 5" xfId="1023" xr:uid="{00000000-0005-0000-0000-0000E7020000}"/>
    <cellStyle name="Comma [0] 2 31 4" xfId="567" xr:uid="{00000000-0005-0000-0000-0000E8020000}"/>
    <cellStyle name="Comma [0] 2 31 5" xfId="638" xr:uid="{00000000-0005-0000-0000-0000E9020000}"/>
    <cellStyle name="Comma [0] 2 31 6" xfId="584" xr:uid="{00000000-0005-0000-0000-0000EA020000}"/>
    <cellStyle name="Comma [0] 2 31 7" xfId="406" xr:uid="{00000000-0005-0000-0000-0000EB020000}"/>
    <cellStyle name="Comma [0] 2 31 7 2" xfId="840" xr:uid="{00000000-0005-0000-0000-0000EC020000}"/>
    <cellStyle name="Comma [0] 2 31 7 2 2" xfId="878" xr:uid="{00000000-0005-0000-0000-0000ED020000}"/>
    <cellStyle name="Comma [0] 2 31 7 3" xfId="976" xr:uid="{00000000-0005-0000-0000-0000EE020000}"/>
    <cellStyle name="Comma [0] 2 31 7 4" xfId="935" xr:uid="{00000000-0005-0000-0000-0000EF020000}"/>
    <cellStyle name="Comma [0] 2 31 8" xfId="491" xr:uid="{00000000-0005-0000-0000-0000F0020000}"/>
    <cellStyle name="Comma [0] 2 31 8 2" xfId="846" xr:uid="{00000000-0005-0000-0000-0000F1020000}"/>
    <cellStyle name="Comma [0] 2 31 9" xfId="358" xr:uid="{00000000-0005-0000-0000-0000F2020000}"/>
    <cellStyle name="Comma [0] 2 32" xfId="442" xr:uid="{00000000-0005-0000-0000-0000F3020000}"/>
    <cellStyle name="Comma [0] 2 33" xfId="451" xr:uid="{00000000-0005-0000-0000-0000F4020000}"/>
    <cellStyle name="Comma [0] 2 34" xfId="446" xr:uid="{00000000-0005-0000-0000-0000F5020000}"/>
    <cellStyle name="Comma [0] 2 35" xfId="298" xr:uid="{00000000-0005-0000-0000-0000F6020000}"/>
    <cellStyle name="Comma [0] 2 35 2" xfId="532" xr:uid="{00000000-0005-0000-0000-0000F7020000}"/>
    <cellStyle name="Comma [0] 2 35 2 2" xfId="822" xr:uid="{00000000-0005-0000-0000-0000F8020000}"/>
    <cellStyle name="Comma [0] 2 35 2 2 2" xfId="922" xr:uid="{00000000-0005-0000-0000-0000F9020000}"/>
    <cellStyle name="Comma [0] 2 35 2 3" xfId="1012" xr:uid="{00000000-0005-0000-0000-0000FA020000}"/>
    <cellStyle name="Comma [0] 2 35 2 4" xfId="1067" xr:uid="{00000000-0005-0000-0000-0000FB020000}"/>
    <cellStyle name="Comma [0] 2 35 3" xfId="709" xr:uid="{00000000-0005-0000-0000-0000FC020000}"/>
    <cellStyle name="Comma [0] 2 35 4" xfId="717" xr:uid="{00000000-0005-0000-0000-0000FD020000}"/>
    <cellStyle name="Comma [0] 2 35 4 2" xfId="985" xr:uid="{00000000-0005-0000-0000-0000FE020000}"/>
    <cellStyle name="Comma [0] 2 35 5" xfId="832" xr:uid="{00000000-0005-0000-0000-0000FF020000}"/>
    <cellStyle name="Comma [0] 2 36" xfId="589" xr:uid="{00000000-0005-0000-0000-000000030000}"/>
    <cellStyle name="Comma [0] 2 37" xfId="509" xr:uid="{00000000-0005-0000-0000-000001030000}"/>
    <cellStyle name="Comma [0] 2 38" xfId="514" xr:uid="{00000000-0005-0000-0000-000002030000}"/>
    <cellStyle name="Comma [0] 2 39" xfId="648" xr:uid="{00000000-0005-0000-0000-000003030000}"/>
    <cellStyle name="Comma [0] 2 4" xfId="20" xr:uid="{00000000-0005-0000-0000-000004030000}"/>
    <cellStyle name="Comma [0] 2 40" xfId="423" xr:uid="{00000000-0005-0000-0000-000005030000}"/>
    <cellStyle name="Comma [0] 2 40 2" xfId="781" xr:uid="{00000000-0005-0000-0000-000006030000}"/>
    <cellStyle name="Comma [0] 2 40 2 2" xfId="881" xr:uid="{00000000-0005-0000-0000-000007030000}"/>
    <cellStyle name="Comma [0] 2 40 3" xfId="919" xr:uid="{00000000-0005-0000-0000-000008030000}"/>
    <cellStyle name="Comma [0] 2 40 4" xfId="1075" xr:uid="{00000000-0005-0000-0000-000009030000}"/>
    <cellStyle name="Comma [0] 2 41" xfId="624" xr:uid="{00000000-0005-0000-0000-00000A030000}"/>
    <cellStyle name="Comma [0] 2 41 2" xfId="383" xr:uid="{00000000-0005-0000-0000-00000B030000}"/>
    <cellStyle name="Comma [0] 2 42" xfId="340" xr:uid="{00000000-0005-0000-0000-00000C030000}"/>
    <cellStyle name="Comma [0] 2 5" xfId="25" xr:uid="{00000000-0005-0000-0000-00000D030000}"/>
    <cellStyle name="Comma [0] 2 6" xfId="30" xr:uid="{00000000-0005-0000-0000-00000E030000}"/>
    <cellStyle name="Comma [0] 2 7" xfId="35" xr:uid="{00000000-0005-0000-0000-00000F030000}"/>
    <cellStyle name="Comma [0] 2 8" xfId="39" xr:uid="{00000000-0005-0000-0000-000010030000}"/>
    <cellStyle name="Comma [0] 2 9" xfId="44" xr:uid="{00000000-0005-0000-0000-000011030000}"/>
    <cellStyle name="Comma [0] 20" xfId="258" xr:uid="{00000000-0005-0000-0000-000012030000}"/>
    <cellStyle name="Comma [0] 21" xfId="287" xr:uid="{00000000-0005-0000-0000-000013030000}"/>
    <cellStyle name="Comma [0] 21 2" xfId="614" xr:uid="{00000000-0005-0000-0000-000014030000}"/>
    <cellStyle name="Comma [0] 21 3" xfId="519" xr:uid="{00000000-0005-0000-0000-000015030000}"/>
    <cellStyle name="Comma [0] 21 4" xfId="594" xr:uid="{00000000-0005-0000-0000-000016030000}"/>
    <cellStyle name="Comma [0] 21 5" xfId="651" xr:uid="{00000000-0005-0000-0000-000017030000}"/>
    <cellStyle name="Comma [0] 21 6" xfId="505" xr:uid="{00000000-0005-0000-0000-000018030000}"/>
    <cellStyle name="Comma [0] 21 7" xfId="729" xr:uid="{00000000-0005-0000-0000-000019030000}"/>
    <cellStyle name="Comma [0] 21 8" xfId="831" xr:uid="{00000000-0005-0000-0000-00001A030000}"/>
    <cellStyle name="Comma [0] 21 9" xfId="793" xr:uid="{00000000-0005-0000-0000-00001B030000}"/>
    <cellStyle name="Comma [0] 22" xfId="223" xr:uid="{00000000-0005-0000-0000-00001C030000}"/>
    <cellStyle name="Comma [0] 23" xfId="225" xr:uid="{00000000-0005-0000-0000-00001D030000}"/>
    <cellStyle name="Comma [0] 24" xfId="238" xr:uid="{00000000-0005-0000-0000-00001E030000}"/>
    <cellStyle name="Comma [0] 25" xfId="445" xr:uid="{00000000-0005-0000-0000-00001F030000}"/>
    <cellStyle name="Comma [0] 25 2" xfId="637" xr:uid="{00000000-0005-0000-0000-000020030000}"/>
    <cellStyle name="Comma [0] 25 3" xfId="664" xr:uid="{00000000-0005-0000-0000-000021030000}"/>
    <cellStyle name="Comma [0] 25 4" xfId="677" xr:uid="{00000000-0005-0000-0000-000022030000}"/>
    <cellStyle name="Comma [0] 25 5" xfId="689" xr:uid="{00000000-0005-0000-0000-000023030000}"/>
    <cellStyle name="Comma [0] 25 6" xfId="697" xr:uid="{00000000-0005-0000-0000-000024030000}"/>
    <cellStyle name="Comma [0] 25 7" xfId="889" xr:uid="{00000000-0005-0000-0000-000025030000}"/>
    <cellStyle name="Comma [0] 25 8" xfId="989" xr:uid="{00000000-0005-0000-0000-000026030000}"/>
    <cellStyle name="Comma [0] 25 9" xfId="1034" xr:uid="{00000000-0005-0000-0000-000027030000}"/>
    <cellStyle name="Comma [0] 27" xfId="479" xr:uid="{00000000-0005-0000-0000-000028030000}"/>
    <cellStyle name="Comma [0] 27 2" xfId="654" xr:uid="{00000000-0005-0000-0000-000029030000}"/>
    <cellStyle name="Comma [0] 27 3" xfId="676" xr:uid="{00000000-0005-0000-0000-00002A030000}"/>
    <cellStyle name="Comma [0] 27 4" xfId="688" xr:uid="{00000000-0005-0000-0000-00002B030000}"/>
    <cellStyle name="Comma [0] 27 5" xfId="696" xr:uid="{00000000-0005-0000-0000-00002C030000}"/>
    <cellStyle name="Comma [0] 27 6" xfId="703" xr:uid="{00000000-0005-0000-0000-00002D030000}"/>
    <cellStyle name="Comma [0] 27 7" xfId="904" xr:uid="{00000000-0005-0000-0000-00002E030000}"/>
    <cellStyle name="Comma [0] 27 8" xfId="839" xr:uid="{00000000-0005-0000-0000-00002F030000}"/>
    <cellStyle name="Comma [0] 27 9" xfId="838" xr:uid="{00000000-0005-0000-0000-000030030000}"/>
    <cellStyle name="Comma [0] 28" xfId="546" xr:uid="{00000000-0005-0000-0000-000031030000}"/>
    <cellStyle name="Comma [0] 28 2" xfId="930" xr:uid="{00000000-0005-0000-0000-000032030000}"/>
    <cellStyle name="Comma [0] 28 3" xfId="1021" xr:uid="{00000000-0005-0000-0000-000033030000}"/>
    <cellStyle name="Comma [0] 28 4" xfId="736" xr:uid="{00000000-0005-0000-0000-000034030000}"/>
    <cellStyle name="Comma [0] 29" xfId="552" xr:uid="{00000000-0005-0000-0000-000035030000}"/>
    <cellStyle name="Comma [0] 29 2" xfId="933" xr:uid="{00000000-0005-0000-0000-000036030000}"/>
    <cellStyle name="Comma [0] 29 3" xfId="1024" xr:uid="{00000000-0005-0000-0000-000037030000}"/>
    <cellStyle name="Comma [0] 29 4" xfId="972" xr:uid="{00000000-0005-0000-0000-000038030000}"/>
    <cellStyle name="Comma [0] 3" xfId="8" xr:uid="{00000000-0005-0000-0000-000039030000}"/>
    <cellStyle name="Comma [0] 30" xfId="599" xr:uid="{00000000-0005-0000-0000-00003A030000}"/>
    <cellStyle name="Comma [0] 30 2" xfId="952" xr:uid="{00000000-0005-0000-0000-00003B030000}"/>
    <cellStyle name="Comma [0] 30 3" xfId="1039" xr:uid="{00000000-0005-0000-0000-00003C030000}"/>
    <cellStyle name="Comma [0] 30 4" xfId="718" xr:uid="{00000000-0005-0000-0000-00003D030000}"/>
    <cellStyle name="Comma [0] 31" xfId="535" xr:uid="{00000000-0005-0000-0000-00003E030000}"/>
    <cellStyle name="Comma [0] 31 2" xfId="924" xr:uid="{00000000-0005-0000-0000-00003F030000}"/>
    <cellStyle name="Comma [0] 31 3" xfId="1015" xr:uid="{00000000-0005-0000-0000-000040030000}"/>
    <cellStyle name="Comma [0] 31 4" xfId="1074" xr:uid="{00000000-0005-0000-0000-000041030000}"/>
    <cellStyle name="Comma [0] 32" xfId="548" xr:uid="{00000000-0005-0000-0000-000042030000}"/>
    <cellStyle name="Comma [0] 32 2" xfId="931" xr:uid="{00000000-0005-0000-0000-000043030000}"/>
    <cellStyle name="Comma [0] 32 3" xfId="1022" xr:uid="{00000000-0005-0000-0000-000044030000}"/>
    <cellStyle name="Comma [0] 32 4" xfId="913" xr:uid="{00000000-0005-0000-0000-000045030000}"/>
    <cellStyle name="Comma [0] 33" xfId="784" xr:uid="{00000000-0005-0000-0000-000046030000}"/>
    <cellStyle name="Comma [0] 34" xfId="768" xr:uid="{00000000-0005-0000-0000-000047030000}"/>
    <cellStyle name="Comma [0] 35" xfId="705" xr:uid="{00000000-0005-0000-0000-000048030000}"/>
    <cellStyle name="Comma [0] 4" xfId="14" xr:uid="{00000000-0005-0000-0000-000049030000}"/>
    <cellStyle name="Comma [0] 5" xfId="123" xr:uid="{00000000-0005-0000-0000-00004A030000}"/>
    <cellStyle name="Comma [0] 6" xfId="23" xr:uid="{00000000-0005-0000-0000-00004B030000}"/>
    <cellStyle name="Comma [0] 7" xfId="28" xr:uid="{00000000-0005-0000-0000-00004C030000}"/>
    <cellStyle name="Comma [0] 8" xfId="33" xr:uid="{00000000-0005-0000-0000-00004D030000}"/>
    <cellStyle name="Comma [0] 9" xfId="66" xr:uid="{00000000-0005-0000-0000-00004E030000}"/>
    <cellStyle name="Comma 2" xfId="7" xr:uid="{00000000-0005-0000-0000-00004F030000}"/>
    <cellStyle name="Comma 2 10" xfId="51" xr:uid="{00000000-0005-0000-0000-000050030000}"/>
    <cellStyle name="Comma 2 11" xfId="65" xr:uid="{00000000-0005-0000-0000-000051030000}"/>
    <cellStyle name="Comma 2 12" xfId="70" xr:uid="{00000000-0005-0000-0000-000052030000}"/>
    <cellStyle name="Comma 2 13" xfId="74" xr:uid="{00000000-0005-0000-0000-000053030000}"/>
    <cellStyle name="Comma 2 14" xfId="82" xr:uid="{00000000-0005-0000-0000-000054030000}"/>
    <cellStyle name="Comma 2 15" xfId="78" xr:uid="{00000000-0005-0000-0000-000055030000}"/>
    <cellStyle name="Comma 2 16" xfId="100" xr:uid="{00000000-0005-0000-0000-000056030000}"/>
    <cellStyle name="Comma 2 17" xfId="83" xr:uid="{00000000-0005-0000-0000-000057030000}"/>
    <cellStyle name="Comma 2 18" xfId="81" xr:uid="{00000000-0005-0000-0000-000058030000}"/>
    <cellStyle name="Comma 2 19" xfId="90" xr:uid="{00000000-0005-0000-0000-000059030000}"/>
    <cellStyle name="Comma 2 2" xfId="13" xr:uid="{00000000-0005-0000-0000-00005A030000}"/>
    <cellStyle name="Comma 2 20" xfId="151" xr:uid="{00000000-0005-0000-0000-00005B030000}"/>
    <cellStyle name="Comma 2 21" xfId="154" xr:uid="{00000000-0005-0000-0000-00005C030000}"/>
    <cellStyle name="Comma 2 22" xfId="177" xr:uid="{00000000-0005-0000-0000-00005D030000}"/>
    <cellStyle name="Comma 2 23" xfId="167" xr:uid="{00000000-0005-0000-0000-00005E030000}"/>
    <cellStyle name="Comma 2 24" xfId="221" xr:uid="{00000000-0005-0000-0000-00005F030000}"/>
    <cellStyle name="Comma 2 25" xfId="240" xr:uid="{00000000-0005-0000-0000-000060030000}"/>
    <cellStyle name="Comma 2 26" xfId="270" xr:uid="{00000000-0005-0000-0000-000061030000}"/>
    <cellStyle name="Comma 2 27" xfId="246" xr:uid="{00000000-0005-0000-0000-000062030000}"/>
    <cellStyle name="Comma 2 28" xfId="266" xr:uid="{00000000-0005-0000-0000-000063030000}"/>
    <cellStyle name="Comma 2 29" xfId="259" xr:uid="{00000000-0005-0000-0000-000064030000}"/>
    <cellStyle name="Comma 2 3" xfId="18" xr:uid="{00000000-0005-0000-0000-000065030000}"/>
    <cellStyle name="Comma 2 30" xfId="436" xr:uid="{00000000-0005-0000-0000-000066030000}"/>
    <cellStyle name="Comma 2 31" xfId="470" xr:uid="{00000000-0005-0000-0000-000067030000}"/>
    <cellStyle name="Comma 2 32" xfId="456" xr:uid="{00000000-0005-0000-0000-000068030000}"/>
    <cellStyle name="Comma 2 33" xfId="475" xr:uid="{00000000-0005-0000-0000-000069030000}"/>
    <cellStyle name="Comma 2 34" xfId="550" xr:uid="{00000000-0005-0000-0000-00006A030000}"/>
    <cellStyle name="Comma 2 35" xfId="635" xr:uid="{00000000-0005-0000-0000-00006B030000}"/>
    <cellStyle name="Comma 2 36" xfId="663" xr:uid="{00000000-0005-0000-0000-00006C030000}"/>
    <cellStyle name="Comma 2 37" xfId="531" xr:uid="{00000000-0005-0000-0000-00006D030000}"/>
    <cellStyle name="Comma 2 38" xfId="587" xr:uid="{00000000-0005-0000-0000-00006E030000}"/>
    <cellStyle name="Comma 2 39" xfId="593" xr:uid="{00000000-0005-0000-0000-00006F030000}"/>
    <cellStyle name="Comma 2 4" xfId="22" xr:uid="{00000000-0005-0000-0000-000070030000}"/>
    <cellStyle name="Comma 2 40" xfId="991" xr:uid="{00000000-0005-0000-0000-000071030000}"/>
    <cellStyle name="Comma 2 41" xfId="1071" xr:uid="{00000000-0005-0000-0000-000072030000}"/>
    <cellStyle name="Comma 2 5" xfId="27" xr:uid="{00000000-0005-0000-0000-000073030000}"/>
    <cellStyle name="Comma 2 6" xfId="32" xr:uid="{00000000-0005-0000-0000-000074030000}"/>
    <cellStyle name="Comma 2 7" xfId="37" xr:uid="{00000000-0005-0000-0000-000075030000}"/>
    <cellStyle name="Comma 2 8" xfId="41" xr:uid="{00000000-0005-0000-0000-000076030000}"/>
    <cellStyle name="Comma 2 9" xfId="46" xr:uid="{00000000-0005-0000-0000-000077030000}"/>
    <cellStyle name="Normal" xfId="0" builtinId="0"/>
    <cellStyle name="Normal 10" xfId="300" xr:uid="{00000000-0005-0000-0000-000079030000}"/>
    <cellStyle name="Normal 10 2" xfId="797" xr:uid="{00000000-0005-0000-0000-00007A030000}"/>
    <cellStyle name="Normal 10 3" xfId="951" xr:uid="{00000000-0005-0000-0000-00007B030000}"/>
    <cellStyle name="Normal 10 4" xfId="860" xr:uid="{00000000-0005-0000-0000-00007C030000}"/>
    <cellStyle name="Normal 11 2" xfId="876" xr:uid="{00000000-0005-0000-0000-00007D030000}"/>
    <cellStyle name="Normal 11 3" xfId="899" xr:uid="{00000000-0005-0000-0000-00007E030000}"/>
    <cellStyle name="Normal 11 4" xfId="1013" xr:uid="{00000000-0005-0000-0000-00007F030000}"/>
    <cellStyle name="Normal 12" xfId="623" xr:uid="{00000000-0005-0000-0000-000080030000}"/>
    <cellStyle name="Normal 2" xfId="4" xr:uid="{00000000-0005-0000-0000-000081030000}"/>
    <cellStyle name="Normal 2 10" xfId="48" xr:uid="{00000000-0005-0000-0000-000082030000}"/>
    <cellStyle name="Normal 2 11" xfId="62" xr:uid="{00000000-0005-0000-0000-000083030000}"/>
    <cellStyle name="Normal 2 12" xfId="67" xr:uid="{00000000-0005-0000-0000-000084030000}"/>
    <cellStyle name="Normal 2 13" xfId="71" xr:uid="{00000000-0005-0000-0000-000085030000}"/>
    <cellStyle name="Normal 2 14" xfId="92" xr:uid="{00000000-0005-0000-0000-000086030000}"/>
    <cellStyle name="Normal 2 15" xfId="97" xr:uid="{00000000-0005-0000-0000-000087030000}"/>
    <cellStyle name="Normal 2 16" xfId="99" xr:uid="{00000000-0005-0000-0000-000088030000}"/>
    <cellStyle name="Normal 2 17" xfId="108" xr:uid="{00000000-0005-0000-0000-000089030000}"/>
    <cellStyle name="Normal 2 18" xfId="112" xr:uid="{00000000-0005-0000-0000-00008A030000}"/>
    <cellStyle name="Normal 2 19" xfId="115" xr:uid="{00000000-0005-0000-0000-00008B030000}"/>
    <cellStyle name="Normal 2 2" xfId="10" xr:uid="{00000000-0005-0000-0000-00008C030000}"/>
    <cellStyle name="Normal 2 20" xfId="148" xr:uid="{00000000-0005-0000-0000-00008D030000}"/>
    <cellStyle name="Normal 2 21" xfId="160" xr:uid="{00000000-0005-0000-0000-00008E030000}"/>
    <cellStyle name="Normal 2 22" xfId="155" xr:uid="{00000000-0005-0000-0000-00008F030000}"/>
    <cellStyle name="Normal 2 23" xfId="172" xr:uid="{00000000-0005-0000-0000-000090030000}"/>
    <cellStyle name="Normal 2 24" xfId="218" xr:uid="{00000000-0005-0000-0000-000091030000}"/>
    <cellStyle name="Normal 2 25" xfId="251" xr:uid="{00000000-0005-0000-0000-000092030000}"/>
    <cellStyle name="Normal 2 26" xfId="229" xr:uid="{00000000-0005-0000-0000-000093030000}"/>
    <cellStyle name="Normal 2 27" xfId="269" xr:uid="{00000000-0005-0000-0000-000094030000}"/>
    <cellStyle name="Normal 2 28" xfId="230" xr:uid="{00000000-0005-0000-0000-000095030000}"/>
    <cellStyle name="Normal 2 29" xfId="267" xr:uid="{00000000-0005-0000-0000-000096030000}"/>
    <cellStyle name="Normal 2 3" xfId="15" xr:uid="{00000000-0005-0000-0000-000097030000}"/>
    <cellStyle name="Normal 2 30" xfId="433" xr:uid="{00000000-0005-0000-0000-000098030000}"/>
    <cellStyle name="Normal 2 31" xfId="443" xr:uid="{00000000-0005-0000-0000-000099030000}"/>
    <cellStyle name="Normal 2 32" xfId="450" xr:uid="{00000000-0005-0000-0000-00009A030000}"/>
    <cellStyle name="Normal 2 33" xfId="480" xr:uid="{00000000-0005-0000-0000-00009B030000}"/>
    <cellStyle name="Normal 2 34" xfId="571" xr:uid="{00000000-0005-0000-0000-00009C030000}"/>
    <cellStyle name="Normal 2 35" xfId="524" xr:uid="{00000000-0005-0000-0000-00009D030000}"/>
    <cellStyle name="Normal 2 36" xfId="602" xr:uid="{00000000-0005-0000-0000-00009E030000}"/>
    <cellStyle name="Normal 2 37" xfId="560" xr:uid="{00000000-0005-0000-0000-00009F030000}"/>
    <cellStyle name="Normal 2 38" xfId="543" xr:uid="{00000000-0005-0000-0000-0000A0030000}"/>
    <cellStyle name="Normal 2 39" xfId="785" xr:uid="{00000000-0005-0000-0000-0000A1030000}"/>
    <cellStyle name="Normal 2 4" xfId="19" xr:uid="{00000000-0005-0000-0000-0000A2030000}"/>
    <cellStyle name="Normal 2 40" xfId="836" xr:uid="{00000000-0005-0000-0000-0000A3030000}"/>
    <cellStyle name="Normal 2 41" xfId="842" xr:uid="{00000000-0005-0000-0000-0000A4030000}"/>
    <cellStyle name="Normal 2 5" xfId="24" xr:uid="{00000000-0005-0000-0000-0000A5030000}"/>
    <cellStyle name="Normal 2 6" xfId="29" xr:uid="{00000000-0005-0000-0000-0000A6030000}"/>
    <cellStyle name="Normal 2 7" xfId="34" xr:uid="{00000000-0005-0000-0000-0000A7030000}"/>
    <cellStyle name="Normal 2 8" xfId="38" xr:uid="{00000000-0005-0000-0000-0000A8030000}"/>
    <cellStyle name="Normal 2 9" xfId="43" xr:uid="{00000000-0005-0000-0000-0000A9030000}"/>
    <cellStyle name="Normal 3" xfId="52" xr:uid="{00000000-0005-0000-0000-0000AA030000}"/>
    <cellStyle name="Normal 3 10" xfId="752" xr:uid="{00000000-0005-0000-0000-0000AB030000}"/>
    <cellStyle name="Normal 3 2" xfId="134" xr:uid="{00000000-0005-0000-0000-0000AC030000}"/>
    <cellStyle name="Normal 3 2 2" xfId="211" xr:uid="{00000000-0005-0000-0000-0000AD030000}"/>
    <cellStyle name="Normal 3 2 2 2" xfId="393" xr:uid="{00000000-0005-0000-0000-0000AE030000}"/>
    <cellStyle name="Normal 3 2 2 3" xfId="354" xr:uid="{00000000-0005-0000-0000-0000AF030000}"/>
    <cellStyle name="Normal 3 2 2 4" xfId="495" xr:uid="{00000000-0005-0000-0000-0000B0030000}"/>
    <cellStyle name="Normal 3 2 2 5" xfId="488" xr:uid="{00000000-0005-0000-0000-0000B1030000}"/>
    <cellStyle name="Normal 3 2 3" xfId="347" xr:uid="{00000000-0005-0000-0000-0000B2030000}"/>
    <cellStyle name="Normal 3 2 4" xfId="326" xr:uid="{00000000-0005-0000-0000-0000B3030000}"/>
    <cellStyle name="Normal 3 2 5" xfId="289" xr:uid="{00000000-0005-0000-0000-0000B4030000}"/>
    <cellStyle name="Normal 3 2 6" xfId="483" xr:uid="{00000000-0005-0000-0000-0000B5030000}"/>
    <cellStyle name="Normal 3 3" xfId="145" xr:uid="{00000000-0005-0000-0000-0000B6030000}"/>
    <cellStyle name="Normal 3 3 2" xfId="216" xr:uid="{00000000-0005-0000-0000-0000B7030000}"/>
    <cellStyle name="Normal 3 3 2 2" xfId="398" xr:uid="{00000000-0005-0000-0000-0000B8030000}"/>
    <cellStyle name="Normal 3 3 2 3" xfId="376" xr:uid="{00000000-0005-0000-0000-0000B9030000}"/>
    <cellStyle name="Normal 3 3 2 4" xfId="382" xr:uid="{00000000-0005-0000-0000-0000BA030000}"/>
    <cellStyle name="Normal 3 3 2 5" xfId="497" xr:uid="{00000000-0005-0000-0000-0000BB030000}"/>
    <cellStyle name="Normal 3 3 3" xfId="355" xr:uid="{00000000-0005-0000-0000-0000BC030000}"/>
    <cellStyle name="Normal 3 3 4" xfId="363" xr:uid="{00000000-0005-0000-0000-0000BD030000}"/>
    <cellStyle name="Normal 3 3 5" xfId="362" xr:uid="{00000000-0005-0000-0000-0000BE030000}"/>
    <cellStyle name="Normal 3 3 6" xfId="586" xr:uid="{00000000-0005-0000-0000-0000BF030000}"/>
    <cellStyle name="Normal 3 4" xfId="147" xr:uid="{00000000-0005-0000-0000-0000C0030000}"/>
    <cellStyle name="Normal 3 4 2" xfId="217" xr:uid="{00000000-0005-0000-0000-0000C1030000}"/>
    <cellStyle name="Normal 3 4 2 2" xfId="399" xr:uid="{00000000-0005-0000-0000-0000C2030000}"/>
    <cellStyle name="Normal 3 4 2 3" xfId="356" xr:uid="{00000000-0005-0000-0000-0000C3030000}"/>
    <cellStyle name="Normal 3 4 2 4" xfId="407" xr:uid="{00000000-0005-0000-0000-0000C4030000}"/>
    <cellStyle name="Normal 3 4 2 5" xfId="413" xr:uid="{00000000-0005-0000-0000-0000C5030000}"/>
    <cellStyle name="Normal 3 4 3" xfId="357" xr:uid="{00000000-0005-0000-0000-0000C6030000}"/>
    <cellStyle name="Normal 3 4 4" xfId="369" xr:uid="{00000000-0005-0000-0000-0000C7030000}"/>
    <cellStyle name="Normal 3 4 5" xfId="525" xr:uid="{00000000-0005-0000-0000-0000C8030000}"/>
    <cellStyle name="Normal 3 4 6" xfId="625" xr:uid="{00000000-0005-0000-0000-0000C9030000}"/>
    <cellStyle name="Normal 3 5" xfId="140" xr:uid="{00000000-0005-0000-0000-0000CA030000}"/>
    <cellStyle name="Normal 3 5 2" xfId="215" xr:uid="{00000000-0005-0000-0000-0000CB030000}"/>
    <cellStyle name="Normal 3 5 2 2" xfId="397" xr:uid="{00000000-0005-0000-0000-0000CC030000}"/>
    <cellStyle name="Normal 3 5 2 3" xfId="371" xr:uid="{00000000-0005-0000-0000-0000CD030000}"/>
    <cellStyle name="Normal 3 5 2 4" xfId="375" xr:uid="{00000000-0005-0000-0000-0000CE030000}"/>
    <cellStyle name="Normal 3 5 2 5" xfId="484" xr:uid="{00000000-0005-0000-0000-0000CF030000}"/>
    <cellStyle name="Normal 3 5 3" xfId="352" xr:uid="{00000000-0005-0000-0000-0000D0030000}"/>
    <cellStyle name="Normal 3 5 4" xfId="426" xr:uid="{00000000-0005-0000-0000-0000D1030000}"/>
    <cellStyle name="Normal 3 5 5" xfId="415" xr:uid="{00000000-0005-0000-0000-0000D2030000}"/>
    <cellStyle name="Normal 3 5 6" xfId="368" xr:uid="{00000000-0005-0000-0000-0000D3030000}"/>
    <cellStyle name="Normal 3 6" xfId="201" xr:uid="{00000000-0005-0000-0000-0000D4030000}"/>
    <cellStyle name="Normal 3 6 2" xfId="384" xr:uid="{00000000-0005-0000-0000-0000D5030000}"/>
    <cellStyle name="Normal 3 6 3" xfId="353" xr:uid="{00000000-0005-0000-0000-0000D6030000}"/>
    <cellStyle name="Normal 3 6 4" xfId="330" xr:uid="{00000000-0005-0000-0000-0000D7030000}"/>
    <cellStyle name="Normal 3 6 5" xfId="319" xr:uid="{00000000-0005-0000-0000-0000D8030000}"/>
    <cellStyle name="Normal 3 7" xfId="303" xr:uid="{00000000-0005-0000-0000-0000D9030000}"/>
    <cellStyle name="Normal 3 8" xfId="332" xr:uid="{00000000-0005-0000-0000-0000DA030000}"/>
    <cellStyle name="Normal 3 9" xfId="619" xr:uid="{00000000-0005-0000-0000-0000DB030000}"/>
    <cellStyle name="Normal 4" xfId="60" xr:uid="{00000000-0005-0000-0000-0000DC030000}"/>
    <cellStyle name="Normal 4 10" xfId="748" xr:uid="{00000000-0005-0000-0000-0000DD030000}"/>
    <cellStyle name="Normal 4 2" xfId="137" xr:uid="{00000000-0005-0000-0000-0000DE030000}"/>
    <cellStyle name="Normal 4 2 2" xfId="214" xr:uid="{00000000-0005-0000-0000-0000DF030000}"/>
    <cellStyle name="Normal 4 2 2 2" xfId="396" xr:uid="{00000000-0005-0000-0000-0000E0030000}"/>
    <cellStyle name="Normal 4 2 2 3" xfId="372" xr:uid="{00000000-0005-0000-0000-0000E1030000}"/>
    <cellStyle name="Normal 4 2 2 4" xfId="489" xr:uid="{00000000-0005-0000-0000-0000E2030000}"/>
    <cellStyle name="Normal 4 2 2 5" xfId="378" xr:uid="{00000000-0005-0000-0000-0000E3030000}"/>
    <cellStyle name="Normal 4 2 3" xfId="350" xr:uid="{00000000-0005-0000-0000-0000E4030000}"/>
    <cellStyle name="Normal 4 2 4" xfId="323" xr:uid="{00000000-0005-0000-0000-0000E5030000}"/>
    <cellStyle name="Normal 4 2 5" xfId="324" xr:uid="{00000000-0005-0000-0000-0000E6030000}"/>
    <cellStyle name="Normal 4 2 6" xfId="359" xr:uid="{00000000-0005-0000-0000-0000E7030000}"/>
    <cellStyle name="Normal 4 3" xfId="130" xr:uid="{00000000-0005-0000-0000-0000E8030000}"/>
    <cellStyle name="Normal 4 3 2" xfId="209" xr:uid="{00000000-0005-0000-0000-0000E9030000}"/>
    <cellStyle name="Normal 4 3 2 2" xfId="391" xr:uid="{00000000-0005-0000-0000-0000EA030000}"/>
    <cellStyle name="Normal 4 3 2 3" xfId="381" xr:uid="{00000000-0005-0000-0000-0000EB030000}"/>
    <cellStyle name="Normal 4 3 2 4" xfId="429" xr:uid="{00000000-0005-0000-0000-0000EC030000}"/>
    <cellStyle name="Normal 4 3 2 5" xfId="380" xr:uid="{00000000-0005-0000-0000-0000ED030000}"/>
    <cellStyle name="Normal 4 3 3" xfId="344" xr:uid="{00000000-0005-0000-0000-0000EE030000}"/>
    <cellStyle name="Normal 4 3 4" xfId="425" xr:uid="{00000000-0005-0000-0000-0000EF030000}"/>
    <cellStyle name="Normal 4 3 5" xfId="317" xr:uid="{00000000-0005-0000-0000-0000F0030000}"/>
    <cellStyle name="Normal 4 3 6" xfId="335" xr:uid="{00000000-0005-0000-0000-0000F1030000}"/>
    <cellStyle name="Normal 4 4" xfId="127" xr:uid="{00000000-0005-0000-0000-0000F2030000}"/>
    <cellStyle name="Normal 4 4 2" xfId="206" xr:uid="{00000000-0005-0000-0000-0000F3030000}"/>
    <cellStyle name="Normal 4 4 2 2" xfId="388" xr:uid="{00000000-0005-0000-0000-0000F4030000}"/>
    <cellStyle name="Normal 4 4 2 3" xfId="306" xr:uid="{00000000-0005-0000-0000-0000F5030000}"/>
    <cellStyle name="Normal 4 4 2 4" xfId="431" xr:uid="{00000000-0005-0000-0000-0000F6030000}"/>
    <cellStyle name="Normal 4 4 2 5" xfId="486" xr:uid="{00000000-0005-0000-0000-0000F7030000}"/>
    <cellStyle name="Normal 4 4 3" xfId="341" xr:uid="{00000000-0005-0000-0000-0000F8030000}"/>
    <cellStyle name="Normal 4 4 4" xfId="305" xr:uid="{00000000-0005-0000-0000-0000F9030000}"/>
    <cellStyle name="Normal 4 4 5" xfId="334" xr:uid="{00000000-0005-0000-0000-0000FA030000}"/>
    <cellStyle name="Normal 4 4 6" xfId="402" xr:uid="{00000000-0005-0000-0000-0000FB030000}"/>
    <cellStyle name="Normal 4 5" xfId="129" xr:uid="{00000000-0005-0000-0000-0000FC030000}"/>
    <cellStyle name="Normal 4 5 2" xfId="208" xr:uid="{00000000-0005-0000-0000-0000FD030000}"/>
    <cellStyle name="Normal 4 5 2 2" xfId="390" xr:uid="{00000000-0005-0000-0000-0000FE030000}"/>
    <cellStyle name="Normal 4 5 2 3" xfId="400" xr:uid="{00000000-0005-0000-0000-0000FF030000}"/>
    <cellStyle name="Normal 4 5 2 4" xfId="416" xr:uid="{00000000-0005-0000-0000-000000040000}"/>
    <cellStyle name="Normal 4 5 2 5" xfId="290" xr:uid="{00000000-0005-0000-0000-000001040000}"/>
    <cellStyle name="Normal 4 5 3" xfId="343" xr:uid="{00000000-0005-0000-0000-000002040000}"/>
    <cellStyle name="Normal 4 5 4" xfId="428" xr:uid="{00000000-0005-0000-0000-000003040000}"/>
    <cellStyle name="Normal 4 5 5" xfId="299" xr:uid="{00000000-0005-0000-0000-000004040000}"/>
    <cellStyle name="Normal 4 5 6" xfId="320" xr:uid="{00000000-0005-0000-0000-000005040000}"/>
    <cellStyle name="Normal 4 6" xfId="204" xr:uid="{00000000-0005-0000-0000-000006040000}"/>
    <cellStyle name="Normal 4 6 2" xfId="386" xr:uid="{00000000-0005-0000-0000-000007040000}"/>
    <cellStyle name="Normal 4 6 3" xfId="360" xr:uid="{00000000-0005-0000-0000-000008040000}"/>
    <cellStyle name="Normal 4 6 4" xfId="315" xr:uid="{00000000-0005-0000-0000-000009040000}"/>
    <cellStyle name="Normal 4 6 5" xfId="559" xr:uid="{00000000-0005-0000-0000-00000A040000}"/>
    <cellStyle name="Normal 4 7" xfId="309" xr:uid="{00000000-0005-0000-0000-00000B040000}"/>
    <cellStyle name="Normal 4 8" xfId="301" xr:uid="{00000000-0005-0000-0000-00000C040000}"/>
    <cellStyle name="Normal 4 9" xfId="621" xr:uid="{00000000-0005-0000-0000-00000D040000}"/>
    <cellStyle name="Normal 5" xfId="195" xr:uid="{00000000-0005-0000-0000-00000E040000}"/>
    <cellStyle name="Normal 5 2" xfId="379" xr:uid="{00000000-0005-0000-0000-00000F040000}"/>
    <cellStyle name="Normal 5 3" xfId="374" xr:uid="{00000000-0005-0000-0000-000010040000}"/>
    <cellStyle name="Normal 5 4" xfId="364" xr:uid="{00000000-0005-0000-0000-000011040000}"/>
    <cellStyle name="Normal 5 5" xfId="726" xr:uid="{00000000-0005-0000-0000-000012040000}"/>
    <cellStyle name="Normal 6" xfId="132" xr:uid="{00000000-0005-0000-0000-000013040000}"/>
    <cellStyle name="Normal 6 2" xfId="210" xr:uid="{00000000-0005-0000-0000-000014040000}"/>
    <cellStyle name="Normal 6 2 2" xfId="392" xr:uid="{00000000-0005-0000-0000-000015040000}"/>
    <cellStyle name="Normal 6 2 3" xfId="377" xr:uid="{00000000-0005-0000-0000-000016040000}"/>
    <cellStyle name="Normal 6 2 4" xfId="414" xr:uid="{00000000-0005-0000-0000-000017040000}"/>
    <cellStyle name="Normal 6 2 5" xfId="418" xr:uid="{00000000-0005-0000-0000-000018040000}"/>
    <cellStyle name="Normal 6 3" xfId="346" xr:uid="{00000000-0005-0000-0000-000019040000}"/>
    <cellStyle name="Normal 6 4" xfId="325" xr:uid="{00000000-0005-0000-0000-00001A040000}"/>
    <cellStyle name="Normal 6 5" xfId="318" xr:uid="{00000000-0005-0000-0000-00001B040000}"/>
    <cellStyle name="Normal 6 6" xfId="494" xr:uid="{00000000-0005-0000-0000-00001C040000}"/>
    <cellStyle name="Normal 7" xfId="128" xr:uid="{00000000-0005-0000-0000-00001D040000}"/>
    <cellStyle name="Normal 7 2" xfId="207" xr:uid="{00000000-0005-0000-0000-00001E040000}"/>
    <cellStyle name="Normal 7 2 2" xfId="389" xr:uid="{00000000-0005-0000-0000-00001F040000}"/>
    <cellStyle name="Normal 7 2 3" xfId="410" xr:uid="{00000000-0005-0000-0000-000020040000}"/>
    <cellStyle name="Normal 7 2 4" xfId="408" xr:uid="{00000000-0005-0000-0000-000021040000}"/>
    <cellStyle name="Normal 7 2 5" xfId="427" xr:uid="{00000000-0005-0000-0000-000022040000}"/>
    <cellStyle name="Normal 7 3" xfId="342" xr:uid="{00000000-0005-0000-0000-000023040000}"/>
    <cellStyle name="Normal 7 4" xfId="409" xr:uid="{00000000-0005-0000-0000-000024040000}"/>
    <cellStyle name="Normal 7 5" xfId="292" xr:uid="{00000000-0005-0000-0000-000025040000}"/>
    <cellStyle name="Normal 7 6" xfId="422" xr:uid="{00000000-0005-0000-0000-000026040000}"/>
    <cellStyle name="Normal 8" xfId="124" xr:uid="{00000000-0005-0000-0000-000027040000}"/>
    <cellStyle name="Normal 8 2" xfId="205" xr:uid="{00000000-0005-0000-0000-000028040000}"/>
    <cellStyle name="Normal 8 2 2" xfId="387" xr:uid="{00000000-0005-0000-0000-000029040000}"/>
    <cellStyle name="Normal 8 2 3" xfId="336" xr:uid="{00000000-0005-0000-0000-00002A040000}"/>
    <cellStyle name="Normal 8 2 4" xfId="420" xr:uid="{00000000-0005-0000-0000-00002B040000}"/>
    <cellStyle name="Normal 8 2 5" xfId="565" xr:uid="{00000000-0005-0000-0000-00002C040000}"/>
    <cellStyle name="Normal 8 3" xfId="339" xr:uid="{00000000-0005-0000-0000-00002D040000}"/>
    <cellStyle name="Normal 8 4" xfId="316" xr:uid="{00000000-0005-0000-0000-00002E040000}"/>
    <cellStyle name="Normal 8 5" xfId="366" xr:uid="{00000000-0005-0000-0000-00002F040000}"/>
    <cellStyle name="Normal 8 6" xfId="731" xr:uid="{00000000-0005-0000-0000-000030040000}"/>
    <cellStyle name="Normal 9" xfId="282" xr:uid="{00000000-0005-0000-0000-000031040000}"/>
    <cellStyle name="Normal 9 2" xfId="609" xr:uid="{00000000-0005-0000-0000-000032040000}"/>
    <cellStyle name="Normal 9 3" xfId="517" xr:uid="{00000000-0005-0000-0000-000033040000}"/>
    <cellStyle name="Normal 9 4" xfId="646" xr:uid="{00000000-0005-0000-0000-000034040000}"/>
    <cellStyle name="Normal 9 5" xfId="675" xr:uid="{00000000-0005-0000-0000-000035040000}"/>
    <cellStyle name="Normal 9 6" xfId="687" xr:uid="{00000000-0005-0000-0000-000036040000}"/>
    <cellStyle name="Normal 9 7" xfId="862" xr:uid="{00000000-0005-0000-0000-000037040000}"/>
    <cellStyle name="Normal 9 8" xfId="827" xr:uid="{00000000-0005-0000-0000-000038040000}"/>
    <cellStyle name="Normal 9 9" xfId="787" xr:uid="{00000000-0005-0000-0000-000039040000}"/>
    <cellStyle name="Percent" xfId="3" builtinId="5"/>
    <cellStyle name="Percent 2" xfId="6" xr:uid="{00000000-0005-0000-0000-00003B040000}"/>
    <cellStyle name="Percent 2 10" xfId="50" xr:uid="{00000000-0005-0000-0000-00003C040000}"/>
    <cellStyle name="Percent 2 11" xfId="64" xr:uid="{00000000-0005-0000-0000-00003D040000}"/>
    <cellStyle name="Percent 2 12" xfId="69" xr:uid="{00000000-0005-0000-0000-00003E040000}"/>
    <cellStyle name="Percent 2 13" xfId="73" xr:uid="{00000000-0005-0000-0000-00003F040000}"/>
    <cellStyle name="Percent 2 14" xfId="86" xr:uid="{00000000-0005-0000-0000-000040040000}"/>
    <cellStyle name="Percent 2 15" xfId="87" xr:uid="{00000000-0005-0000-0000-000041040000}"/>
    <cellStyle name="Percent 2 16" xfId="85" xr:uid="{00000000-0005-0000-0000-000042040000}"/>
    <cellStyle name="Percent 2 17" xfId="107" xr:uid="{00000000-0005-0000-0000-000043040000}"/>
    <cellStyle name="Percent 2 18" xfId="111" xr:uid="{00000000-0005-0000-0000-000044040000}"/>
    <cellStyle name="Percent 2 19" xfId="114" xr:uid="{00000000-0005-0000-0000-000045040000}"/>
    <cellStyle name="Percent 2 2" xfId="12" xr:uid="{00000000-0005-0000-0000-000046040000}"/>
    <cellStyle name="Percent 2 20" xfId="150" xr:uid="{00000000-0005-0000-0000-000047040000}"/>
    <cellStyle name="Percent 2 21" xfId="156" xr:uid="{00000000-0005-0000-0000-000048040000}"/>
    <cellStyle name="Percent 2 22" xfId="166" xr:uid="{00000000-0005-0000-0000-000049040000}"/>
    <cellStyle name="Percent 2 23" xfId="175" xr:uid="{00000000-0005-0000-0000-00004A040000}"/>
    <cellStyle name="Percent 2 24" xfId="220" xr:uid="{00000000-0005-0000-0000-00004B040000}"/>
    <cellStyle name="Percent 2 25" xfId="249" xr:uid="{00000000-0005-0000-0000-00004C040000}"/>
    <cellStyle name="Percent 2 26" xfId="254" xr:uid="{00000000-0005-0000-0000-00004D040000}"/>
    <cellStyle name="Percent 2 27" xfId="260" xr:uid="{00000000-0005-0000-0000-00004E040000}"/>
    <cellStyle name="Percent 2 28" xfId="244" xr:uid="{00000000-0005-0000-0000-00004F040000}"/>
    <cellStyle name="Percent 2 29" xfId="227" xr:uid="{00000000-0005-0000-0000-000050040000}"/>
    <cellStyle name="Percent 2 3" xfId="17" xr:uid="{00000000-0005-0000-0000-000051040000}"/>
    <cellStyle name="Percent 2 30" xfId="435" xr:uid="{00000000-0005-0000-0000-000052040000}"/>
    <cellStyle name="Percent 2 31" xfId="440" xr:uid="{00000000-0005-0000-0000-000053040000}"/>
    <cellStyle name="Percent 2 32" xfId="439" xr:uid="{00000000-0005-0000-0000-000054040000}"/>
    <cellStyle name="Percent 2 33" xfId="469" xr:uid="{00000000-0005-0000-0000-000055040000}"/>
    <cellStyle name="Percent 2 34" xfId="551" xr:uid="{00000000-0005-0000-0000-000056040000}"/>
    <cellStyle name="Percent 2 35" xfId="650" xr:uid="{00000000-0005-0000-0000-000057040000}"/>
    <cellStyle name="Percent 2 36" xfId="673" xr:uid="{00000000-0005-0000-0000-000058040000}"/>
    <cellStyle name="Percent 2 37" xfId="686" xr:uid="{00000000-0005-0000-0000-000059040000}"/>
    <cellStyle name="Percent 2 38" xfId="695" xr:uid="{00000000-0005-0000-0000-00005A040000}"/>
    <cellStyle name="Percent 2 39" xfId="868" xr:uid="{00000000-0005-0000-0000-00005B040000}"/>
    <cellStyle name="Percent 2 4" xfId="21" xr:uid="{00000000-0005-0000-0000-00005C040000}"/>
    <cellStyle name="Percent 2 40" xfId="994" xr:uid="{00000000-0005-0000-0000-00005D040000}"/>
    <cellStyle name="Percent 2 41" xfId="1073" xr:uid="{00000000-0005-0000-0000-00005E040000}"/>
    <cellStyle name="Percent 2 5" xfId="26" xr:uid="{00000000-0005-0000-0000-00005F040000}"/>
    <cellStyle name="Percent 2 6" xfId="31" xr:uid="{00000000-0005-0000-0000-000060040000}"/>
    <cellStyle name="Percent 2 7" xfId="36" xr:uid="{00000000-0005-0000-0000-000061040000}"/>
    <cellStyle name="Percent 2 8" xfId="40" xr:uid="{00000000-0005-0000-0000-000062040000}"/>
    <cellStyle name="Percent 2 9" xfId="45" xr:uid="{00000000-0005-0000-0000-00006304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4"/>
  <sheetViews>
    <sheetView view="pageBreakPreview" topLeftCell="A76" zoomScale="84" zoomScaleNormal="75" zoomScaleSheetLayoutView="84" workbookViewId="0">
      <selection activeCell="G98" sqref="A1:XFD1048576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78" t="s">
        <v>148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87"/>
      <c r="P1" s="88">
        <v>1</v>
      </c>
      <c r="Q1" s="88" t="s">
        <v>183</v>
      </c>
    </row>
    <row r="2" spans="1:20" ht="33.5" x14ac:dyDescent="0.85">
      <c r="A2" s="381" t="s">
        <v>155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215" t="s">
        <v>156</v>
      </c>
      <c r="E5" s="216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84" t="s">
        <v>4</v>
      </c>
      <c r="B6" s="387" t="s">
        <v>5</v>
      </c>
      <c r="C6" s="387"/>
      <c r="D6" s="388"/>
      <c r="E6" s="393" t="s">
        <v>6</v>
      </c>
      <c r="F6" s="371" t="s">
        <v>7</v>
      </c>
      <c r="G6" s="371" t="s">
        <v>158</v>
      </c>
      <c r="H6" s="371" t="s">
        <v>9</v>
      </c>
      <c r="I6" s="374" t="s">
        <v>10</v>
      </c>
      <c r="J6" s="374"/>
      <c r="K6" s="374"/>
      <c r="L6" s="374"/>
      <c r="M6" s="371" t="s">
        <v>11</v>
      </c>
      <c r="N6" s="384" t="s">
        <v>12</v>
      </c>
      <c r="O6" s="98"/>
    </row>
    <row r="7" spans="1:20" ht="15.5" x14ac:dyDescent="0.35">
      <c r="A7" s="385"/>
      <c r="B7" s="389"/>
      <c r="C7" s="389"/>
      <c r="D7" s="390"/>
      <c r="E7" s="394"/>
      <c r="F7" s="372"/>
      <c r="G7" s="372"/>
      <c r="H7" s="372"/>
      <c r="I7" s="374" t="s">
        <v>13</v>
      </c>
      <c r="J7" s="374"/>
      <c r="K7" s="396" t="s">
        <v>14</v>
      </c>
      <c r="L7" s="396"/>
      <c r="M7" s="372"/>
      <c r="N7" s="385"/>
      <c r="O7" s="98"/>
    </row>
    <row r="8" spans="1:20" ht="15.5" x14ac:dyDescent="0.35">
      <c r="A8" s="386"/>
      <c r="B8" s="391"/>
      <c r="C8" s="391"/>
      <c r="D8" s="392"/>
      <c r="E8" s="395"/>
      <c r="F8" s="373"/>
      <c r="G8" s="373"/>
      <c r="H8" s="373"/>
      <c r="I8" s="99" t="s">
        <v>15</v>
      </c>
      <c r="J8" s="99" t="s">
        <v>16</v>
      </c>
      <c r="K8" s="99" t="s">
        <v>16</v>
      </c>
      <c r="L8" s="100" t="s">
        <v>17</v>
      </c>
      <c r="M8" s="373"/>
      <c r="N8" s="386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8.5528637555134654</v>
      </c>
      <c r="L10" s="195">
        <f>SUM(L11:L21)</f>
        <v>2.0947537195382977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Q11/E11*100</f>
        <v>16.666666666666664</v>
      </c>
      <c r="L11" s="207">
        <f>K11*H11/100</f>
        <v>1.5524649362476084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68" t="s">
        <v>24</v>
      </c>
      <c r="C12" s="369"/>
      <c r="D12" s="370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>Q14/E14*100</f>
        <v>16.666666666666668</v>
      </c>
      <c r="L14" s="207">
        <f t="shared" ref="L14:L43" si="8">K14*H14/100</f>
        <v>2.7289931011601883E-2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68" t="s">
        <v>30</v>
      </c>
      <c r="C15" s="369"/>
      <c r="D15" s="370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>Q15/E15*100</f>
        <v>16.666666666666664</v>
      </c>
      <c r="L15" s="207">
        <f t="shared" si="8"/>
        <v>2.1423159193849243E-2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8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8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9">Q19/E19*100</f>
        <v>16.666666666666664</v>
      </c>
      <c r="L19" s="207">
        <f t="shared" si="8"/>
        <v>0.19836258512823371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9"/>
        <v>16.666666666666664</v>
      </c>
      <c r="L20" s="207">
        <f t="shared" si="8"/>
        <v>0.1071157959692462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68" t="s">
        <v>42</v>
      </c>
      <c r="C21" s="369"/>
      <c r="D21" s="370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8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75" t="s">
        <v>44</v>
      </c>
      <c r="C23" s="376"/>
      <c r="D23" s="377"/>
      <c r="E23" s="197">
        <f>SUM(E24:E29)</f>
        <v>186049400</v>
      </c>
      <c r="F23" s="184">
        <v>0</v>
      </c>
      <c r="G23" s="184">
        <v>0</v>
      </c>
      <c r="H23" s="185">
        <f t="shared" ref="H23" si="10">SUM(H24:H29)</f>
        <v>8.8572575869336347</v>
      </c>
      <c r="I23" s="195">
        <f t="shared" ref="I23" si="11">SUM(I24:I29)</f>
        <v>3400000</v>
      </c>
      <c r="J23" s="187"/>
      <c r="K23" s="195">
        <f>SUM(K24:K29)/6</f>
        <v>14.111111111111112</v>
      </c>
      <c r="L23" s="195">
        <f>SUM(L24:L29)</f>
        <v>0.79640514958100517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2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8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2"/>
        <v>2.481582589782807</v>
      </c>
      <c r="I25" s="115">
        <v>3400000</v>
      </c>
      <c r="J25" s="168">
        <f t="shared" si="7"/>
        <v>0.16186386946463871</v>
      </c>
      <c r="K25" s="178">
        <f t="shared" ref="K25" si="13">Q25/E25*100</f>
        <v>16.666666666666668</v>
      </c>
      <c r="L25" s="207">
        <f t="shared" si="8"/>
        <v>0.41359709829713454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2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8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2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8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2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8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2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8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75" t="s">
        <v>60</v>
      </c>
      <c r="C31" s="376"/>
      <c r="D31" s="377"/>
      <c r="E31" s="197">
        <f t="shared" ref="E31:N31" si="14">SUM(E32)</f>
        <v>1000000</v>
      </c>
      <c r="F31" s="184">
        <v>0</v>
      </c>
      <c r="G31" s="184">
        <v>0</v>
      </c>
      <c r="H31" s="185">
        <f t="shared" si="14"/>
        <v>4.7607020430776095E-2</v>
      </c>
      <c r="I31" s="195">
        <f t="shared" si="14"/>
        <v>0</v>
      </c>
      <c r="J31" s="187">
        <f t="shared" si="7"/>
        <v>0</v>
      </c>
      <c r="K31" s="195">
        <f t="shared" si="14"/>
        <v>0</v>
      </c>
      <c r="L31" s="195">
        <f t="shared" si="14"/>
        <v>0</v>
      </c>
      <c r="M31" s="185">
        <f>SUM(M32)</f>
        <v>1000000</v>
      </c>
      <c r="N31" s="184">
        <f t="shared" si="14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68" t="s">
        <v>62</v>
      </c>
      <c r="C32" s="369"/>
      <c r="D32" s="370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8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75" t="s">
        <v>64</v>
      </c>
      <c r="C34" s="376"/>
      <c r="D34" s="377"/>
      <c r="E34" s="197">
        <f t="shared" ref="E34:N34" si="15">E35</f>
        <v>125734000</v>
      </c>
      <c r="F34" s="184">
        <v>0</v>
      </c>
      <c r="G34" s="184">
        <v>0</v>
      </c>
      <c r="H34" s="185">
        <f t="shared" si="15"/>
        <v>5.9858211068432015</v>
      </c>
      <c r="I34" s="195">
        <f t="shared" si="15"/>
        <v>12000000</v>
      </c>
      <c r="J34" s="187"/>
      <c r="K34" s="195">
        <f t="shared" si="15"/>
        <v>16.666666666666668</v>
      </c>
      <c r="L34" s="195">
        <f t="shared" si="15"/>
        <v>0.99763685114053358</v>
      </c>
      <c r="M34" s="185">
        <f t="shared" si="15"/>
        <v>113734000</v>
      </c>
      <c r="N34" s="184">
        <f t="shared" si="15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Q35/E35*100</f>
        <v>16.666666666666668</v>
      </c>
      <c r="L35" s="207">
        <f t="shared" si="8"/>
        <v>0.99763685114053358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75" t="s">
        <v>70</v>
      </c>
      <c r="C37" s="376"/>
      <c r="D37" s="377"/>
      <c r="E37" s="197">
        <f>SUM(E38:E39)</f>
        <v>277264000</v>
      </c>
      <c r="F37" s="184">
        <v>0</v>
      </c>
      <c r="G37" s="184">
        <v>0</v>
      </c>
      <c r="H37" s="185">
        <f t="shared" ref="H37:M37" si="16">SUM(H38:H39)</f>
        <v>13.199712912718702</v>
      </c>
      <c r="I37" s="195">
        <f t="shared" ref="I37" si="17">SUM(I38:I39)</f>
        <v>19200000</v>
      </c>
      <c r="J37" s="187"/>
      <c r="K37" s="195">
        <f>SUM(K38:K39)/2</f>
        <v>8.3333333333333321</v>
      </c>
      <c r="L37" s="195">
        <f t="shared" si="16"/>
        <v>2.0232983683079837</v>
      </c>
      <c r="M37" s="185">
        <f t="shared" si="16"/>
        <v>258064000</v>
      </c>
      <c r="N37" s="184">
        <f t="shared" ref="N37" si="18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68" t="s">
        <v>72</v>
      </c>
      <c r="C38" s="369"/>
      <c r="D38" s="370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Q38/E38*100</f>
        <v>16.666666666666664</v>
      </c>
      <c r="L38" s="207">
        <f t="shared" si="8"/>
        <v>2.0232983683079837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68" t="s">
        <v>74</v>
      </c>
      <c r="C39" s="369"/>
      <c r="D39" s="370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8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9">SUM(H42:H43)</f>
        <v>3.8768777087802517</v>
      </c>
      <c r="I41" s="195">
        <f t="shared" ref="I41" si="20">SUM(I42:I43)</f>
        <v>0</v>
      </c>
      <c r="J41" s="187">
        <f t="shared" si="7"/>
        <v>0</v>
      </c>
      <c r="K41" s="195">
        <f>SUM(K42:K43)/2</f>
        <v>37.5</v>
      </c>
      <c r="L41" s="195">
        <f t="shared" si="19"/>
        <v>1.3906605755585084</v>
      </c>
      <c r="M41" s="185">
        <f t="shared" si="19"/>
        <v>81435000</v>
      </c>
      <c r="N41" s="184">
        <f t="shared" ref="N41" si="21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8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8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75" t="s">
        <v>86</v>
      </c>
      <c r="C45" s="376"/>
      <c r="D45" s="377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22">SUM(H46:H50)</f>
        <v>7.7309921207415275</v>
      </c>
      <c r="I45" s="195">
        <f t="shared" ref="I45" si="23">SUM(I46:I50)</f>
        <v>3600000</v>
      </c>
      <c r="J45" s="187">
        <f t="shared" si="7"/>
        <v>0.17138527355079394</v>
      </c>
      <c r="K45" s="195">
        <f>SUM(K46:K50)/5</f>
        <v>15.666666666666668</v>
      </c>
      <c r="L45" s="195">
        <f t="shared" si="22"/>
        <v>1.353508810592154</v>
      </c>
      <c r="M45" s="185">
        <f t="shared" si="22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" si="24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ref="L47:L49" si="25">K47*H47/100</f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 t="shared" ref="K48:K50" si="26">Q48/E48*100</f>
        <v>16.666666666666668</v>
      </c>
      <c r="L48" s="207">
        <f>K48*H48/100</f>
        <v>0.20074293614977254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68" t="s">
        <v>94</v>
      </c>
      <c r="C49" s="369"/>
      <c r="D49" s="370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5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 t="shared" si="26"/>
        <v>16.666666666666664</v>
      </c>
      <c r="L50" s="207">
        <f>K50*H50/100</f>
        <v>0.55189231884717693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7">SUM(H53:H54)</f>
        <v>0.95214040861552185</v>
      </c>
      <c r="I52" s="195">
        <f t="shared" ref="I52" si="28">SUM(I53:I54)</f>
        <v>0</v>
      </c>
      <c r="J52" s="187">
        <f t="shared" si="7"/>
        <v>0</v>
      </c>
      <c r="K52" s="195">
        <f>SUM(K53:K54)/2</f>
        <v>0</v>
      </c>
      <c r="L52" s="195">
        <f t="shared" si="27"/>
        <v>0</v>
      </c>
      <c r="M52" s="185">
        <f t="shared" si="27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9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9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75" t="s">
        <v>104</v>
      </c>
      <c r="C56" s="376"/>
      <c r="D56" s="377"/>
      <c r="E56" s="199">
        <f t="shared" ref="E56:N56" si="30">SUM(E57)</f>
        <v>61200000</v>
      </c>
      <c r="F56" s="192">
        <f t="shared" si="30"/>
        <v>0</v>
      </c>
      <c r="G56" s="192">
        <f t="shared" si="30"/>
        <v>0</v>
      </c>
      <c r="H56" s="193">
        <f t="shared" si="30"/>
        <v>2.913549650363497</v>
      </c>
      <c r="I56" s="205">
        <f t="shared" si="30"/>
        <v>1800000</v>
      </c>
      <c r="J56" s="187"/>
      <c r="K56" s="205">
        <f t="shared" si="30"/>
        <v>8.5692636775396971E-2</v>
      </c>
      <c r="L56" s="205">
        <f t="shared" si="30"/>
        <v>2.4966975191568399E-3</v>
      </c>
      <c r="M56" s="193">
        <f t="shared" si="30"/>
        <v>59400000</v>
      </c>
      <c r="N56" s="192">
        <f t="shared" si="30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31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75" t="s">
        <v>116</v>
      </c>
      <c r="C59" s="376"/>
      <c r="D59" s="377"/>
      <c r="E59" s="197">
        <f t="shared" ref="E59:N59" si="32">E60</f>
        <v>151914500</v>
      </c>
      <c r="F59" s="184">
        <f t="shared" si="32"/>
        <v>0</v>
      </c>
      <c r="G59" s="184">
        <f t="shared" si="32"/>
        <v>0</v>
      </c>
      <c r="H59" s="185">
        <f t="shared" si="32"/>
        <v>7.2321967052311349</v>
      </c>
      <c r="I59" s="195">
        <f t="shared" si="32"/>
        <v>0</v>
      </c>
      <c r="J59" s="187">
        <f t="shared" si="7"/>
        <v>0</v>
      </c>
      <c r="K59" s="195">
        <f t="shared" si="32"/>
        <v>16.666666666666664</v>
      </c>
      <c r="L59" s="195">
        <f t="shared" si="32"/>
        <v>1.2053661175385222</v>
      </c>
      <c r="M59" s="185">
        <f t="shared" si="32"/>
        <v>151914500</v>
      </c>
      <c r="N59" s="184">
        <f t="shared" si="32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68" t="s">
        <v>118</v>
      </c>
      <c r="C60" s="369"/>
      <c r="D60" s="370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Q60/E60*100</f>
        <v>16.666666666666664</v>
      </c>
      <c r="L60" s="207">
        <f t="shared" ref="L60" si="33">K60*H60/100</f>
        <v>1.2053661175385222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75" t="s">
        <v>124</v>
      </c>
      <c r="C62" s="376"/>
      <c r="D62" s="377"/>
      <c r="E62" s="197">
        <f t="shared" ref="E62:N62" si="34">E63</f>
        <v>5671000</v>
      </c>
      <c r="F62" s="184">
        <f t="shared" si="34"/>
        <v>0</v>
      </c>
      <c r="G62" s="184">
        <f t="shared" si="34"/>
        <v>0</v>
      </c>
      <c r="H62" s="185">
        <f t="shared" si="34"/>
        <v>0.2699794128629312</v>
      </c>
      <c r="I62" s="195">
        <f t="shared" si="34"/>
        <v>0</v>
      </c>
      <c r="J62" s="187">
        <f t="shared" si="7"/>
        <v>0</v>
      </c>
      <c r="K62" s="195">
        <f t="shared" si="34"/>
        <v>0</v>
      </c>
      <c r="L62" s="195">
        <f t="shared" si="34"/>
        <v>0</v>
      </c>
      <c r="M62" s="185">
        <f t="shared" si="34"/>
        <v>5671000</v>
      </c>
      <c r="N62" s="184">
        <f t="shared" si="34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68" t="s">
        <v>126</v>
      </c>
      <c r="C63" s="369"/>
      <c r="D63" s="370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35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75" t="s">
        <v>128</v>
      </c>
      <c r="C65" s="376"/>
      <c r="D65" s="377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36">SUM(H66:H71)</f>
        <v>13.205949432395135</v>
      </c>
      <c r="I65" s="195">
        <f t="shared" si="36"/>
        <v>15300000</v>
      </c>
      <c r="J65" s="187"/>
      <c r="K65" s="195">
        <f>SUM(K66:K71)/6</f>
        <v>14.444444444444443</v>
      </c>
      <c r="L65" s="195">
        <f t="shared" si="36"/>
        <v>3.5331351850115351</v>
      </c>
      <c r="M65" s="185">
        <f t="shared" si="36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7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0" si="38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7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8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7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8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7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8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7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8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7"/>
        <v>1.633396870979928</v>
      </c>
      <c r="I71" s="115">
        <v>0</v>
      </c>
      <c r="J71" s="168">
        <f t="shared" si="7"/>
        <v>0</v>
      </c>
      <c r="K71" s="178">
        <f t="shared" ref="K71" si="39">Q71/E71*100</f>
        <v>16.666666666666664</v>
      </c>
      <c r="L71" s="207">
        <f t="shared" ref="L71" si="40">K71*H71/100</f>
        <v>0.27223281182998799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75" t="s">
        <v>142</v>
      </c>
      <c r="C73" s="376"/>
      <c r="D73" s="377"/>
      <c r="E73" s="197">
        <f t="shared" ref="E73:N73" si="41">E74</f>
        <v>57479800</v>
      </c>
      <c r="F73" s="184">
        <f t="shared" si="41"/>
        <v>0</v>
      </c>
      <c r="G73" s="184">
        <f t="shared" si="41"/>
        <v>0</v>
      </c>
      <c r="H73" s="185">
        <f t="shared" si="41"/>
        <v>2.7364420129569238</v>
      </c>
      <c r="I73" s="197">
        <f t="shared" si="41"/>
        <v>0</v>
      </c>
      <c r="J73" s="187">
        <f t="shared" si="7"/>
        <v>0</v>
      </c>
      <c r="K73" s="195">
        <f t="shared" si="41"/>
        <v>16.666666666666664</v>
      </c>
      <c r="L73" s="195">
        <f t="shared" si="41"/>
        <v>0.45607366882615386</v>
      </c>
      <c r="M73" s="184">
        <f t="shared" si="41"/>
        <v>57479800</v>
      </c>
      <c r="N73" s="184">
        <f t="shared" si="41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Q74/E74*100</f>
        <v>16.666666666666664</v>
      </c>
      <c r="L74" s="209">
        <f t="shared" ref="L74" si="42">K74*H74/100</f>
        <v>0.45607366882615386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75" t="s">
        <v>166</v>
      </c>
      <c r="C76" s="376"/>
      <c r="D76" s="377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43">H77</f>
        <v>1.6769572946740881</v>
      </c>
      <c r="I76" s="197">
        <f t="shared" si="43"/>
        <v>0</v>
      </c>
      <c r="J76" s="187">
        <f t="shared" si="7"/>
        <v>0</v>
      </c>
      <c r="K76" s="195">
        <f t="shared" si="43"/>
        <v>0</v>
      </c>
      <c r="L76" s="195">
        <f t="shared" si="43"/>
        <v>0</v>
      </c>
      <c r="M76" s="184">
        <f t="shared" si="43"/>
        <v>35225000</v>
      </c>
      <c r="N76" s="184">
        <f>SUM(N77:N84)</f>
        <v>0</v>
      </c>
      <c r="O76" s="118"/>
      <c r="P76" s="88">
        <f t="shared" ref="P76:P123" si="44">E76/12</f>
        <v>2935416.6666666665</v>
      </c>
      <c r="Q76" s="88">
        <f t="shared" ref="Q76:Q123" si="45">P76*2</f>
        <v>5870833.333333333</v>
      </c>
      <c r="R76" s="88">
        <f t="shared" ref="R76:R92" si="46">P76*3</f>
        <v>8806250</v>
      </c>
      <c r="S76" s="88">
        <f t="shared" ref="S76:S92" si="47">P76*4</f>
        <v>11741666.666666666</v>
      </c>
      <c r="T76" s="88">
        <f t="shared" ref="T76:T92" si="48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9">I77/$E$86*100</f>
        <v>0</v>
      </c>
      <c r="K77" s="178">
        <v>0</v>
      </c>
      <c r="L77" s="207">
        <f t="shared" ref="L77:L80" si="50">K77*H77/100</f>
        <v>0</v>
      </c>
      <c r="M77" s="116">
        <f t="shared" ref="M77:M83" si="51">E77-I77</f>
        <v>35225000</v>
      </c>
      <c r="N77" s="114"/>
      <c r="O77" s="118"/>
      <c r="P77" s="88">
        <f t="shared" si="44"/>
        <v>2935416.6666666665</v>
      </c>
      <c r="Q77" s="88">
        <f t="shared" si="45"/>
        <v>5870833.333333333</v>
      </c>
      <c r="R77" s="88">
        <f t="shared" si="46"/>
        <v>8806250</v>
      </c>
      <c r="S77" s="88">
        <f t="shared" si="47"/>
        <v>11741666.666666666</v>
      </c>
      <c r="T77" s="88">
        <f t="shared" si="48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9"/>
        <v>0</v>
      </c>
      <c r="K78" s="178"/>
      <c r="L78" s="207"/>
      <c r="M78" s="116">
        <f t="shared" si="51"/>
        <v>0</v>
      </c>
      <c r="N78" s="114"/>
      <c r="O78" s="118"/>
      <c r="P78" s="88">
        <f t="shared" si="44"/>
        <v>0</v>
      </c>
      <c r="Q78" s="88">
        <f t="shared" si="45"/>
        <v>0</v>
      </c>
      <c r="R78" s="88">
        <f t="shared" si="46"/>
        <v>0</v>
      </c>
      <c r="S78" s="88">
        <f t="shared" si="47"/>
        <v>0</v>
      </c>
      <c r="T78" s="88">
        <f t="shared" si="48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52">H80</f>
        <v>1.2377825312001784</v>
      </c>
      <c r="I79" s="195">
        <f t="shared" si="52"/>
        <v>0</v>
      </c>
      <c r="J79" s="187">
        <f t="shared" si="49"/>
        <v>0</v>
      </c>
      <c r="K79" s="195">
        <f t="shared" si="52"/>
        <v>0</v>
      </c>
      <c r="L79" s="195">
        <f t="shared" si="52"/>
        <v>0</v>
      </c>
      <c r="M79" s="185">
        <f t="shared" si="52"/>
        <v>26000000</v>
      </c>
      <c r="N79" s="185">
        <f t="shared" si="52"/>
        <v>0</v>
      </c>
      <c r="O79" s="118"/>
      <c r="P79" s="88">
        <f t="shared" si="44"/>
        <v>2166666.6666666665</v>
      </c>
      <c r="Q79" s="88">
        <f t="shared" si="45"/>
        <v>4333333.333333333</v>
      </c>
      <c r="R79" s="88">
        <f t="shared" si="46"/>
        <v>6500000</v>
      </c>
      <c r="S79" s="88">
        <f t="shared" si="47"/>
        <v>8666666.666666666</v>
      </c>
      <c r="T79" s="88">
        <f t="shared" si="48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9"/>
        <v>0</v>
      </c>
      <c r="K80" s="178">
        <v>0</v>
      </c>
      <c r="L80" s="207">
        <f t="shared" si="50"/>
        <v>0</v>
      </c>
      <c r="M80" s="116">
        <f t="shared" si="51"/>
        <v>26000000</v>
      </c>
      <c r="N80" s="114"/>
      <c r="O80" s="118"/>
      <c r="P80" s="88">
        <f t="shared" si="44"/>
        <v>2166666.6666666665</v>
      </c>
      <c r="Q80" s="88">
        <f t="shared" si="45"/>
        <v>4333333.333333333</v>
      </c>
      <c r="R80" s="88">
        <f t="shared" si="46"/>
        <v>6500000</v>
      </c>
      <c r="S80" s="88">
        <f t="shared" si="47"/>
        <v>8666666.666666666</v>
      </c>
      <c r="T80" s="88">
        <f t="shared" si="48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9"/>
        <v>0</v>
      </c>
      <c r="K81" s="178"/>
      <c r="L81" s="207"/>
      <c r="M81" s="116">
        <f t="shared" si="51"/>
        <v>0</v>
      </c>
      <c r="N81" s="114"/>
      <c r="O81" s="118"/>
      <c r="P81" s="88">
        <f t="shared" si="44"/>
        <v>0</v>
      </c>
      <c r="Q81" s="88">
        <f t="shared" si="45"/>
        <v>0</v>
      </c>
      <c r="R81" s="88">
        <f t="shared" si="46"/>
        <v>0</v>
      </c>
      <c r="S81" s="88">
        <f t="shared" si="47"/>
        <v>0</v>
      </c>
      <c r="T81" s="88">
        <f t="shared" si="48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53">H83</f>
        <v>1.1202030929964111</v>
      </c>
      <c r="I82" s="195">
        <f t="shared" si="53"/>
        <v>0</v>
      </c>
      <c r="J82" s="187">
        <f t="shared" si="49"/>
        <v>0</v>
      </c>
      <c r="K82" s="195">
        <f t="shared" si="53"/>
        <v>15</v>
      </c>
      <c r="L82" s="195">
        <f t="shared" si="53"/>
        <v>0.16803046394946164</v>
      </c>
      <c r="M82" s="185">
        <f t="shared" si="53"/>
        <v>23530208</v>
      </c>
      <c r="N82" s="188"/>
      <c r="O82" s="118"/>
      <c r="P82" s="88">
        <f t="shared" si="44"/>
        <v>1960850.6666666667</v>
      </c>
      <c r="Q82" s="88">
        <f t="shared" si="45"/>
        <v>3921701.3333333335</v>
      </c>
      <c r="R82" s="88">
        <f t="shared" si="46"/>
        <v>5882552</v>
      </c>
      <c r="S82" s="88">
        <f t="shared" si="47"/>
        <v>7843402.666666667</v>
      </c>
      <c r="T82" s="88">
        <f t="shared" si="48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9"/>
        <v>0</v>
      </c>
      <c r="K83" s="178">
        <v>15</v>
      </c>
      <c r="L83" s="207">
        <f>K83*H83/100</f>
        <v>0.16803046394946164</v>
      </c>
      <c r="M83" s="116">
        <f t="shared" si="51"/>
        <v>23530208</v>
      </c>
      <c r="N83" s="114"/>
      <c r="O83" s="118"/>
      <c r="P83" s="88">
        <f t="shared" si="44"/>
        <v>1960850.6666666667</v>
      </c>
      <c r="Q83" s="88">
        <f t="shared" si="45"/>
        <v>3921701.3333333335</v>
      </c>
      <c r="R83" s="88">
        <f t="shared" si="46"/>
        <v>5882552</v>
      </c>
      <c r="S83" s="88">
        <f t="shared" si="47"/>
        <v>7843402.666666667</v>
      </c>
      <c r="T83" s="88">
        <f t="shared" si="48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44"/>
        <v>0</v>
      </c>
      <c r="Q84" s="88">
        <f t="shared" si="45"/>
        <v>0</v>
      </c>
      <c r="R84" s="88">
        <f t="shared" si="46"/>
        <v>0</v>
      </c>
      <c r="S84" s="88">
        <f t="shared" si="47"/>
        <v>0</v>
      </c>
      <c r="T84" s="88">
        <f t="shared" si="48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163.69411194784439</v>
      </c>
      <c r="L85" s="148"/>
      <c r="M85" s="146"/>
      <c r="N85" s="147"/>
      <c r="O85" s="118"/>
      <c r="P85" s="88">
        <f t="shared" si="44"/>
        <v>0</v>
      </c>
      <c r="Q85" s="88">
        <f t="shared" si="45"/>
        <v>0</v>
      </c>
      <c r="R85" s="88">
        <f t="shared" si="46"/>
        <v>0</v>
      </c>
      <c r="S85" s="88">
        <f t="shared" si="47"/>
        <v>0</v>
      </c>
      <c r="T85" s="88">
        <f t="shared" si="48"/>
        <v>0</v>
      </c>
    </row>
    <row r="86" spans="1:20" ht="15.5" x14ac:dyDescent="0.35">
      <c r="A86" s="397" t="s">
        <v>145</v>
      </c>
      <c r="B86" s="398"/>
      <c r="C86" s="398"/>
      <c r="D86" s="399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10.230881996740274</v>
      </c>
      <c r="L86" s="172">
        <f>L10+L23+L31+L34+L37+L41+L45+L52+L56+L59+L62+L65+L73+L76+L79+L82</f>
        <v>14.021365607563311</v>
      </c>
      <c r="M86" s="149">
        <f>M10+M23+M31+M34+M37+M41+M45+M52+M56+M59+M62+M65+M73+M76+M79+M82</f>
        <v>2032930533</v>
      </c>
      <c r="N86" s="149"/>
      <c r="O86" s="150"/>
      <c r="P86" s="88">
        <f t="shared" si="44"/>
        <v>175044211.08333334</v>
      </c>
      <c r="Q86" s="88">
        <f t="shared" si="45"/>
        <v>350088422.16666669</v>
      </c>
      <c r="R86" s="88">
        <f t="shared" si="46"/>
        <v>525132633.25</v>
      </c>
      <c r="S86" s="88">
        <f t="shared" si="47"/>
        <v>700176844.33333337</v>
      </c>
      <c r="T86" s="88">
        <f t="shared" si="48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44"/>
        <v>0</v>
      </c>
      <c r="Q87" s="88">
        <f t="shared" si="45"/>
        <v>0</v>
      </c>
      <c r="R87" s="88">
        <f t="shared" si="46"/>
        <v>0</v>
      </c>
      <c r="S87" s="88">
        <f t="shared" si="47"/>
        <v>0</v>
      </c>
      <c r="T87" s="88">
        <f t="shared" si="48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400" t="s">
        <v>188</v>
      </c>
      <c r="K88" s="400"/>
      <c r="L88" s="400"/>
      <c r="M88" s="154"/>
      <c r="N88" s="155"/>
      <c r="O88" s="106"/>
      <c r="P88" s="88">
        <f t="shared" si="44"/>
        <v>644897173.08916664</v>
      </c>
      <c r="Q88" s="88">
        <f t="shared" si="45"/>
        <v>1289794346.1783333</v>
      </c>
      <c r="R88" s="88">
        <f t="shared" si="46"/>
        <v>1934691519.2674999</v>
      </c>
      <c r="S88" s="88">
        <f t="shared" si="47"/>
        <v>2579588692.3566666</v>
      </c>
      <c r="T88" s="88">
        <f t="shared" si="48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400" t="s">
        <v>177</v>
      </c>
      <c r="K89" s="400"/>
      <c r="L89" s="400"/>
      <c r="M89" s="154"/>
      <c r="N89" s="155"/>
      <c r="O89" s="106"/>
      <c r="P89" s="88">
        <f t="shared" si="44"/>
        <v>0</v>
      </c>
      <c r="Q89" s="88">
        <f t="shared" si="45"/>
        <v>0</v>
      </c>
      <c r="R89" s="88">
        <f t="shared" si="46"/>
        <v>0</v>
      </c>
      <c r="S89" s="88">
        <f t="shared" si="47"/>
        <v>0</v>
      </c>
      <c r="T89" s="88">
        <f t="shared" si="48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213"/>
      <c r="K90" s="213"/>
      <c r="L90" s="213"/>
      <c r="M90" s="154"/>
      <c r="N90" s="155"/>
      <c r="O90" s="106"/>
      <c r="P90" s="88">
        <f t="shared" si="44"/>
        <v>0</v>
      </c>
      <c r="Q90" s="88">
        <f t="shared" si="45"/>
        <v>0</v>
      </c>
      <c r="R90" s="88">
        <f t="shared" si="46"/>
        <v>0</v>
      </c>
      <c r="S90" s="88">
        <f t="shared" si="47"/>
        <v>0</v>
      </c>
      <c r="T90" s="88">
        <f t="shared" si="48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213"/>
      <c r="K91" s="213"/>
      <c r="L91" s="213"/>
      <c r="M91" s="154"/>
      <c r="N91" s="155"/>
      <c r="O91" s="106"/>
      <c r="P91" s="88">
        <f t="shared" si="44"/>
        <v>0</v>
      </c>
      <c r="Q91" s="88">
        <f t="shared" si="45"/>
        <v>0</v>
      </c>
      <c r="R91" s="88">
        <f t="shared" si="46"/>
        <v>0</v>
      </c>
      <c r="S91" s="88">
        <f t="shared" si="47"/>
        <v>0</v>
      </c>
      <c r="T91" s="88">
        <f t="shared" si="48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214"/>
      <c r="K92" s="213"/>
      <c r="L92" s="214"/>
      <c r="M92" s="154"/>
      <c r="N92" s="155"/>
      <c r="O92" s="106"/>
      <c r="P92" s="88">
        <f t="shared" si="44"/>
        <v>0</v>
      </c>
      <c r="Q92" s="88">
        <f t="shared" si="45"/>
        <v>0</v>
      </c>
      <c r="R92" s="88">
        <f t="shared" si="46"/>
        <v>0</v>
      </c>
      <c r="S92" s="88">
        <f t="shared" si="47"/>
        <v>0</v>
      </c>
      <c r="T92" s="88">
        <f t="shared" si="48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401" t="s">
        <v>178</v>
      </c>
      <c r="K93" s="401"/>
      <c r="L93" s="401"/>
      <c r="M93" s="154"/>
      <c r="N93" s="155"/>
      <c r="O93" s="106"/>
      <c r="P93" s="88">
        <f t="shared" si="44"/>
        <v>0</v>
      </c>
      <c r="Q93" s="88">
        <f t="shared" si="45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402" t="s">
        <v>179</v>
      </c>
      <c r="K94" s="402"/>
      <c r="L94" s="402"/>
      <c r="M94" s="162"/>
      <c r="N94" s="163"/>
      <c r="O94" s="106"/>
      <c r="P94" s="88">
        <f t="shared" si="44"/>
        <v>0</v>
      </c>
      <c r="Q94" s="88">
        <f t="shared" si="45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44"/>
        <v>0</v>
      </c>
      <c r="Q95" s="88">
        <f t="shared" si="45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44"/>
        <v>0</v>
      </c>
      <c r="Q96" s="88">
        <f t="shared" si="45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44"/>
        <v>0</v>
      </c>
      <c r="Q97" s="88">
        <f t="shared" si="45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44"/>
        <v>0</v>
      </c>
      <c r="Q98" s="88">
        <f t="shared" si="45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44"/>
        <v>0</v>
      </c>
      <c r="Q99" s="88">
        <f t="shared" si="45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44"/>
        <v>0</v>
      </c>
      <c r="Q100" s="88">
        <f t="shared" si="45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44"/>
        <v>0</v>
      </c>
      <c r="Q101" s="88">
        <f t="shared" si="45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44"/>
        <v>0</v>
      </c>
      <c r="Q102" s="88">
        <f t="shared" si="45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44"/>
        <v>0</v>
      </c>
      <c r="Q103" s="88">
        <f t="shared" si="45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44"/>
        <v>0</v>
      </c>
      <c r="Q104" s="88">
        <f t="shared" si="45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44"/>
        <v>16305000</v>
      </c>
      <c r="Q105" s="88">
        <f t="shared" si="45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44"/>
        <v>128333.33333333333</v>
      </c>
      <c r="Q106" s="88">
        <f t="shared" si="45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44"/>
        <v>1666666.6666666667</v>
      </c>
      <c r="Q107" s="88">
        <f t="shared" si="45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44"/>
        <v>5833333.333333333</v>
      </c>
      <c r="Q108" s="88">
        <f t="shared" si="45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44"/>
        <v>20650114.583333332</v>
      </c>
      <c r="Q109" s="88">
        <f t="shared" si="45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44"/>
        <v>286616.66666666669</v>
      </c>
      <c r="Q110" s="88">
        <f t="shared" si="45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44"/>
        <v>2083333.3333333333</v>
      </c>
      <c r="Q111" s="88">
        <f t="shared" si="45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44"/>
        <v>1125000</v>
      </c>
      <c r="Q112" s="88">
        <f t="shared" si="45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44"/>
        <v>333333.33333333331</v>
      </c>
      <c r="Q113" s="88">
        <f t="shared" si="45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44"/>
        <v>2050000</v>
      </c>
      <c r="Q114" s="88">
        <f t="shared" si="45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44"/>
        <v>225000</v>
      </c>
      <c r="Q115" s="88">
        <f t="shared" si="45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44"/>
        <v>0</v>
      </c>
      <c r="Q116" s="88">
        <f t="shared" si="45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44"/>
        <v>6807500</v>
      </c>
      <c r="Q117" s="88">
        <f t="shared" si="45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44"/>
        <v>4343866.666666667</v>
      </c>
      <c r="Q118" s="88">
        <f t="shared" si="45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44"/>
        <v>2429833.3333333335</v>
      </c>
      <c r="Q119" s="88">
        <f t="shared" si="45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44"/>
        <v>985416.66666666663</v>
      </c>
      <c r="Q120" s="88">
        <f t="shared" si="45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44"/>
        <v>337500</v>
      </c>
      <c r="Q121" s="88">
        <f t="shared" si="45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44"/>
        <v>600000</v>
      </c>
      <c r="Q122" s="88">
        <f t="shared" si="45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44"/>
        <v>0</v>
      </c>
      <c r="Q123" s="88">
        <f t="shared" si="45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A86:D86"/>
    <mergeCell ref="J88:L88"/>
    <mergeCell ref="J89:L89"/>
    <mergeCell ref="J93:L93"/>
    <mergeCell ref="J94:L94"/>
    <mergeCell ref="B76:D76"/>
    <mergeCell ref="B56:D56"/>
    <mergeCell ref="B59:D59"/>
    <mergeCell ref="B62:D62"/>
    <mergeCell ref="B63:D63"/>
    <mergeCell ref="B65:D65"/>
    <mergeCell ref="B73:D73"/>
    <mergeCell ref="B60:D60"/>
    <mergeCell ref="A1:N1"/>
    <mergeCell ref="A2:N2"/>
    <mergeCell ref="A6:A8"/>
    <mergeCell ref="B6:D8"/>
    <mergeCell ref="E6:E8"/>
    <mergeCell ref="F6:F8"/>
    <mergeCell ref="G6:G8"/>
    <mergeCell ref="N6:N8"/>
    <mergeCell ref="I7:J7"/>
    <mergeCell ref="K7:L7"/>
    <mergeCell ref="B49:D49"/>
    <mergeCell ref="B12:D12"/>
    <mergeCell ref="H6:H8"/>
    <mergeCell ref="I6:L6"/>
    <mergeCell ref="M6:M8"/>
    <mergeCell ref="B45:D45"/>
    <mergeCell ref="B15:D15"/>
    <mergeCell ref="B21:D21"/>
    <mergeCell ref="B23:D23"/>
    <mergeCell ref="B31:D31"/>
    <mergeCell ref="B32:D32"/>
    <mergeCell ref="B34:D34"/>
    <mergeCell ref="B37:D37"/>
    <mergeCell ref="B38:D38"/>
    <mergeCell ref="B39:D39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"/>
  <sheetViews>
    <sheetView zoomScale="80" zoomScaleNormal="80" workbookViewId="0">
      <selection activeCell="B43" sqref="B43:B81"/>
    </sheetView>
  </sheetViews>
  <sheetFormatPr defaultRowHeight="14.5" x14ac:dyDescent="0.35"/>
  <cols>
    <col min="1" max="1" width="50.453125" style="331" customWidth="1"/>
    <col min="2" max="4" width="17.7265625" style="88" customWidth="1"/>
    <col min="5" max="5" width="50.26953125" style="331" customWidth="1"/>
    <col min="6" max="6" width="18.453125" style="88" customWidth="1"/>
  </cols>
  <sheetData>
    <row r="1" spans="1:6" x14ac:dyDescent="0.35">
      <c r="A1" s="338"/>
      <c r="B1"/>
      <c r="C1"/>
      <c r="D1"/>
      <c r="E1" s="338"/>
      <c r="F1"/>
    </row>
    <row r="2" spans="1:6" x14ac:dyDescent="0.35">
      <c r="A2" s="338"/>
      <c r="B2"/>
      <c r="C2"/>
      <c r="D2"/>
      <c r="E2" s="338"/>
      <c r="F2"/>
    </row>
    <row r="3" spans="1:6" x14ac:dyDescent="0.35">
      <c r="A3" s="339"/>
      <c r="B3" s="248"/>
      <c r="C3" s="248"/>
      <c r="D3" s="248"/>
      <c r="E3" s="339"/>
      <c r="F3" s="248"/>
    </row>
    <row r="4" spans="1:6" ht="15.5" x14ac:dyDescent="0.35">
      <c r="A4" s="340" t="s">
        <v>318</v>
      </c>
      <c r="B4" s="253"/>
      <c r="C4" s="253"/>
      <c r="D4" s="253"/>
      <c r="E4" s="340" t="s">
        <v>309</v>
      </c>
      <c r="F4" s="253"/>
    </row>
    <row r="5" spans="1:6" ht="15.5" x14ac:dyDescent="0.35">
      <c r="A5" s="340" t="s">
        <v>333</v>
      </c>
      <c r="B5" s="253"/>
      <c r="C5" s="253"/>
      <c r="D5" s="253"/>
      <c r="E5" s="340" t="s">
        <v>333</v>
      </c>
      <c r="F5" s="253"/>
    </row>
    <row r="6" spans="1:6" x14ac:dyDescent="0.35">
      <c r="A6" s="338"/>
      <c r="B6"/>
      <c r="C6"/>
      <c r="D6"/>
      <c r="E6" s="338"/>
      <c r="F6"/>
    </row>
    <row r="7" spans="1:6" x14ac:dyDescent="0.35">
      <c r="A7" s="338"/>
      <c r="B7"/>
      <c r="C7"/>
      <c r="D7"/>
      <c r="E7" s="338"/>
      <c r="F7"/>
    </row>
    <row r="8" spans="1:6" x14ac:dyDescent="0.35">
      <c r="A8" s="338"/>
      <c r="B8"/>
      <c r="C8"/>
      <c r="D8"/>
      <c r="E8" s="338"/>
      <c r="F8"/>
    </row>
    <row r="9" spans="1:6" ht="15.5" x14ac:dyDescent="0.35">
      <c r="A9" s="338"/>
      <c r="B9" s="239"/>
      <c r="C9" s="356"/>
      <c r="D9" s="356"/>
      <c r="E9" s="338"/>
      <c r="F9" s="239"/>
    </row>
    <row r="10" spans="1:6" ht="26" x14ac:dyDescent="0.35">
      <c r="A10" s="341" t="s">
        <v>262</v>
      </c>
      <c r="B10" s="227"/>
      <c r="C10" s="350"/>
      <c r="D10" s="350"/>
      <c r="E10" s="341" t="s">
        <v>262</v>
      </c>
      <c r="F10" s="227">
        <f>F11+F14+F20+F23+F26</f>
        <v>173947017</v>
      </c>
    </row>
    <row r="11" spans="1:6" ht="26" x14ac:dyDescent="0.35">
      <c r="A11" s="342" t="s">
        <v>196</v>
      </c>
      <c r="B11" s="231"/>
      <c r="C11" s="351"/>
      <c r="D11" s="351"/>
      <c r="E11" s="342" t="s">
        <v>199</v>
      </c>
      <c r="F11" s="231">
        <f>SUM(F12:F12)</f>
        <v>57976376</v>
      </c>
    </row>
    <row r="12" spans="1:6" ht="15.5" x14ac:dyDescent="0.35">
      <c r="A12" s="343" t="s">
        <v>197</v>
      </c>
      <c r="B12" s="359">
        <v>8090800</v>
      </c>
      <c r="C12" s="352"/>
      <c r="D12" s="352">
        <f>B12+C12</f>
        <v>8090800</v>
      </c>
      <c r="E12" s="344" t="s">
        <v>200</v>
      </c>
      <c r="F12" s="315">
        <v>57976376</v>
      </c>
    </row>
    <row r="13" spans="1:6" ht="15.5" x14ac:dyDescent="0.35">
      <c r="A13" s="343" t="s">
        <v>287</v>
      </c>
      <c r="B13" s="360">
        <v>7025000</v>
      </c>
      <c r="C13" s="352"/>
      <c r="D13" s="352">
        <f t="shared" ref="D13:D36" si="0">B13+C13</f>
        <v>7025000</v>
      </c>
      <c r="E13" s="344"/>
      <c r="F13" s="219"/>
    </row>
    <row r="14" spans="1:6" ht="15.5" x14ac:dyDescent="0.35">
      <c r="A14" s="343"/>
      <c r="B14" s="219"/>
      <c r="C14" s="352"/>
      <c r="D14" s="352">
        <f t="shared" si="0"/>
        <v>0</v>
      </c>
      <c r="E14" s="345" t="s">
        <v>193</v>
      </c>
      <c r="F14" s="231">
        <f>SUM(F15:F18)</f>
        <v>63334795</v>
      </c>
    </row>
    <row r="15" spans="1:6" ht="15.5" x14ac:dyDescent="0.35">
      <c r="A15" s="342" t="s">
        <v>199</v>
      </c>
      <c r="B15" s="231"/>
      <c r="C15" s="351"/>
      <c r="D15" s="352">
        <f t="shared" si="0"/>
        <v>0</v>
      </c>
      <c r="E15" s="344" t="s">
        <v>42</v>
      </c>
      <c r="F15" s="219">
        <v>3402705</v>
      </c>
    </row>
    <row r="16" spans="1:6" ht="15.5" x14ac:dyDescent="0.35">
      <c r="A16" s="344" t="s">
        <v>239</v>
      </c>
      <c r="B16" s="219">
        <v>2918994082</v>
      </c>
      <c r="C16" s="352"/>
      <c r="D16" s="352">
        <f t="shared" si="0"/>
        <v>2918994082</v>
      </c>
      <c r="E16" s="343" t="s">
        <v>194</v>
      </c>
      <c r="F16" s="219">
        <v>35985090</v>
      </c>
    </row>
    <row r="17" spans="1:6" ht="15.5" x14ac:dyDescent="0.35">
      <c r="A17" s="344" t="s">
        <v>200</v>
      </c>
      <c r="B17" s="219">
        <v>151932578</v>
      </c>
      <c r="C17" s="315">
        <v>52136376</v>
      </c>
      <c r="D17" s="352">
        <f t="shared" si="0"/>
        <v>204068954</v>
      </c>
      <c r="E17" s="344" t="s">
        <v>40</v>
      </c>
      <c r="F17" s="219">
        <v>8432000</v>
      </c>
    </row>
    <row r="18" spans="1:6" ht="15.5" x14ac:dyDescent="0.35">
      <c r="A18" s="344" t="s">
        <v>289</v>
      </c>
      <c r="B18" s="360">
        <v>1034800</v>
      </c>
      <c r="C18" s="352"/>
      <c r="D18" s="352">
        <f t="shared" si="0"/>
        <v>1034800</v>
      </c>
      <c r="E18" s="344" t="s">
        <v>195</v>
      </c>
      <c r="F18" s="219">
        <v>15515000</v>
      </c>
    </row>
    <row r="19" spans="1:6" ht="15.5" x14ac:dyDescent="0.35">
      <c r="A19" s="344"/>
      <c r="B19" s="219"/>
      <c r="C19" s="352"/>
      <c r="D19" s="352">
        <f t="shared" si="0"/>
        <v>0</v>
      </c>
      <c r="E19" s="343"/>
      <c r="F19" s="219"/>
    </row>
    <row r="20" spans="1:6" ht="26" x14ac:dyDescent="0.35">
      <c r="A20" s="345" t="s">
        <v>193</v>
      </c>
      <c r="B20" s="231"/>
      <c r="C20" s="351"/>
      <c r="D20" s="352">
        <f t="shared" si="0"/>
        <v>0</v>
      </c>
      <c r="E20" s="342" t="s">
        <v>282</v>
      </c>
      <c r="F20" s="231">
        <f>F21</f>
        <v>7770000</v>
      </c>
    </row>
    <row r="21" spans="1:6" ht="15.5" x14ac:dyDescent="0.35">
      <c r="A21" s="344" t="s">
        <v>42</v>
      </c>
      <c r="B21" s="219">
        <v>974000</v>
      </c>
      <c r="C21" s="219">
        <v>3402705</v>
      </c>
      <c r="D21" s="352">
        <f t="shared" si="0"/>
        <v>4376705</v>
      </c>
      <c r="E21" s="344" t="s">
        <v>284</v>
      </c>
      <c r="F21" s="318">
        <v>7770000</v>
      </c>
    </row>
    <row r="22" spans="1:6" ht="15.5" x14ac:dyDescent="0.35">
      <c r="A22" s="343" t="s">
        <v>194</v>
      </c>
      <c r="B22" s="219">
        <v>21548700</v>
      </c>
      <c r="C22" s="219">
        <v>35985090</v>
      </c>
      <c r="D22" s="352">
        <f t="shared" si="0"/>
        <v>57533790</v>
      </c>
      <c r="E22" s="344"/>
      <c r="F22" s="219"/>
    </row>
    <row r="23" spans="1:6" ht="26" x14ac:dyDescent="0.35">
      <c r="A23" s="344" t="s">
        <v>40</v>
      </c>
      <c r="B23" s="219">
        <v>6905000</v>
      </c>
      <c r="C23" s="219">
        <v>8432000</v>
      </c>
      <c r="D23" s="352">
        <f t="shared" si="0"/>
        <v>15337000</v>
      </c>
      <c r="E23" s="342" t="s">
        <v>201</v>
      </c>
      <c r="F23" s="231">
        <f>SUM(F24:F24)</f>
        <v>39235846</v>
      </c>
    </row>
    <row r="24" spans="1:6" ht="15.5" x14ac:dyDescent="0.35">
      <c r="A24" s="344" t="s">
        <v>195</v>
      </c>
      <c r="B24" s="219">
        <v>61024158</v>
      </c>
      <c r="C24" s="219">
        <v>15515000</v>
      </c>
      <c r="D24" s="352">
        <f t="shared" si="0"/>
        <v>76539158</v>
      </c>
      <c r="E24" s="344" t="s">
        <v>202</v>
      </c>
      <c r="F24" s="313">
        <v>39235846</v>
      </c>
    </row>
    <row r="25" spans="1:6" ht="15.5" x14ac:dyDescent="0.35">
      <c r="A25" s="343"/>
      <c r="B25" s="219"/>
      <c r="C25" s="352"/>
      <c r="D25" s="352">
        <f t="shared" si="0"/>
        <v>0</v>
      </c>
      <c r="E25" s="344"/>
      <c r="F25" s="219"/>
    </row>
    <row r="26" spans="1:6" ht="26" x14ac:dyDescent="0.35">
      <c r="A26" s="342" t="s">
        <v>282</v>
      </c>
      <c r="B26" s="231"/>
      <c r="C26" s="351"/>
      <c r="D26" s="352">
        <f t="shared" si="0"/>
        <v>0</v>
      </c>
      <c r="E26" s="342" t="s">
        <v>203</v>
      </c>
      <c r="F26" s="231">
        <f>SUM(F27:F28)</f>
        <v>5630000</v>
      </c>
    </row>
    <row r="27" spans="1:6" ht="15.5" x14ac:dyDescent="0.35">
      <c r="A27" s="344" t="s">
        <v>284</v>
      </c>
      <c r="B27" s="219">
        <v>0</v>
      </c>
      <c r="C27" s="318">
        <v>7770000</v>
      </c>
      <c r="D27" s="352">
        <f t="shared" si="0"/>
        <v>7770000</v>
      </c>
      <c r="E27" s="344" t="s">
        <v>311</v>
      </c>
      <c r="F27" s="314">
        <v>5630000</v>
      </c>
    </row>
    <row r="28" spans="1:6" ht="26" x14ac:dyDescent="0.35">
      <c r="A28" s="344"/>
      <c r="B28" s="219"/>
      <c r="C28" s="352"/>
      <c r="D28" s="352">
        <f t="shared" si="0"/>
        <v>0</v>
      </c>
      <c r="E28" s="344" t="s">
        <v>315</v>
      </c>
      <c r="F28" s="314">
        <v>0</v>
      </c>
    </row>
    <row r="29" spans="1:6" ht="26" x14ac:dyDescent="0.35">
      <c r="A29" s="342" t="s">
        <v>201</v>
      </c>
      <c r="B29" s="231"/>
      <c r="C29" s="351"/>
      <c r="D29" s="352">
        <f t="shared" si="0"/>
        <v>0</v>
      </c>
      <c r="E29" s="344"/>
      <c r="F29" s="219"/>
    </row>
    <row r="30" spans="1:6" ht="26" x14ac:dyDescent="0.35">
      <c r="A30" s="344" t="s">
        <v>291</v>
      </c>
      <c r="B30" s="219">
        <v>2932600</v>
      </c>
      <c r="C30" s="352"/>
      <c r="D30" s="352">
        <f t="shared" si="0"/>
        <v>2932600</v>
      </c>
      <c r="E30" s="341" t="s">
        <v>264</v>
      </c>
      <c r="F30" s="227">
        <f>F31</f>
        <v>55200000</v>
      </c>
    </row>
    <row r="31" spans="1:6" ht="39" x14ac:dyDescent="0.35">
      <c r="A31" s="344" t="s">
        <v>202</v>
      </c>
      <c r="B31" s="219">
        <v>28200495</v>
      </c>
      <c r="C31" s="313">
        <v>33744607</v>
      </c>
      <c r="D31" s="352">
        <f t="shared" si="0"/>
        <v>61945102</v>
      </c>
      <c r="E31" s="342" t="s">
        <v>205</v>
      </c>
      <c r="F31" s="231">
        <f>SUM(F32:F32)</f>
        <v>55200000</v>
      </c>
    </row>
    <row r="32" spans="1:6" ht="26" x14ac:dyDescent="0.35">
      <c r="A32" s="344"/>
      <c r="B32" s="219"/>
      <c r="C32" s="352"/>
      <c r="D32" s="352">
        <f t="shared" si="0"/>
        <v>0</v>
      </c>
      <c r="E32" s="343" t="s">
        <v>310</v>
      </c>
      <c r="F32" s="314">
        <v>55200000</v>
      </c>
    </row>
    <row r="33" spans="1:6" ht="26" x14ac:dyDescent="0.35">
      <c r="A33" s="342" t="s">
        <v>203</v>
      </c>
      <c r="B33" s="231"/>
      <c r="C33" s="351"/>
      <c r="D33" s="352">
        <f t="shared" si="0"/>
        <v>0</v>
      </c>
      <c r="E33" s="343"/>
      <c r="F33" s="219"/>
    </row>
    <row r="34" spans="1:6" ht="26" x14ac:dyDescent="0.35">
      <c r="A34" s="344" t="s">
        <v>311</v>
      </c>
      <c r="B34" s="219">
        <v>78476200</v>
      </c>
      <c r="C34" s="314">
        <v>4340000</v>
      </c>
      <c r="D34" s="352">
        <f t="shared" si="0"/>
        <v>82816200</v>
      </c>
      <c r="E34" s="341" t="s">
        <v>266</v>
      </c>
      <c r="F34" s="227">
        <f>SUM(F37,F35,F40)</f>
        <v>618513131</v>
      </c>
    </row>
    <row r="35" spans="1:6" ht="15.5" x14ac:dyDescent="0.35">
      <c r="A35" s="344" t="s">
        <v>308</v>
      </c>
      <c r="B35" s="219">
        <v>0</v>
      </c>
      <c r="C35" s="352"/>
      <c r="D35" s="352">
        <f t="shared" si="0"/>
        <v>0</v>
      </c>
      <c r="E35" s="342" t="s">
        <v>209</v>
      </c>
      <c r="F35" s="231">
        <f>SUM(F36)</f>
        <v>43730000</v>
      </c>
    </row>
    <row r="36" spans="1:6" ht="26" x14ac:dyDescent="0.35">
      <c r="A36" s="344" t="s">
        <v>285</v>
      </c>
      <c r="B36" s="219"/>
      <c r="C36" s="352"/>
      <c r="D36" s="352">
        <f t="shared" si="0"/>
        <v>0</v>
      </c>
      <c r="E36" s="343" t="s">
        <v>278</v>
      </c>
      <c r="F36" s="314">
        <v>43730000</v>
      </c>
    </row>
    <row r="37" spans="1:6" ht="15.5" x14ac:dyDescent="0.35">
      <c r="A37" s="344"/>
      <c r="D37" s="352">
        <f>B38+C37</f>
        <v>0</v>
      </c>
      <c r="E37" s="342" t="s">
        <v>276</v>
      </c>
      <c r="F37" s="231">
        <f>SUM(F38:F39)</f>
        <v>555833131</v>
      </c>
    </row>
    <row r="38" spans="1:6" ht="26" x14ac:dyDescent="0.35">
      <c r="A38" s="341" t="s">
        <v>264</v>
      </c>
      <c r="B38" s="227"/>
      <c r="C38" s="350"/>
      <c r="D38" s="352">
        <f>B39+C38</f>
        <v>118030000</v>
      </c>
      <c r="E38" s="343" t="s">
        <v>280</v>
      </c>
      <c r="F38" s="318">
        <v>545273131</v>
      </c>
    </row>
    <row r="39" spans="1:6" ht="39" x14ac:dyDescent="0.35">
      <c r="A39" s="342" t="s">
        <v>205</v>
      </c>
      <c r="B39" s="231">
        <f>SUM(B40:B40)</f>
        <v>118030000</v>
      </c>
      <c r="C39" s="351"/>
      <c r="D39" s="352">
        <f>B40+C39</f>
        <v>118030000</v>
      </c>
      <c r="E39" s="343" t="s">
        <v>294</v>
      </c>
      <c r="F39" s="219">
        <v>10560000</v>
      </c>
    </row>
    <row r="40" spans="1:6" ht="26" x14ac:dyDescent="0.35">
      <c r="A40" s="343" t="s">
        <v>206</v>
      </c>
      <c r="B40" s="219">
        <v>118030000</v>
      </c>
      <c r="C40" s="352"/>
      <c r="D40" s="352">
        <f>B41+C40</f>
        <v>0</v>
      </c>
      <c r="E40" s="342" t="s">
        <v>323</v>
      </c>
      <c r="F40" s="231">
        <f>SUM(F41:F42)</f>
        <v>18950000</v>
      </c>
    </row>
    <row r="41" spans="1:6" ht="26" x14ac:dyDescent="0.35">
      <c r="A41" s="343" t="s">
        <v>310</v>
      </c>
      <c r="B41" s="219"/>
      <c r="C41" s="314">
        <v>48300000</v>
      </c>
      <c r="D41" s="352">
        <f t="shared" ref="D41:D70" si="1">B43+C41</f>
        <v>162370000</v>
      </c>
      <c r="E41" s="343" t="s">
        <v>326</v>
      </c>
      <c r="F41" s="219">
        <v>6750000</v>
      </c>
    </row>
    <row r="42" spans="1:6" ht="39" x14ac:dyDescent="0.35">
      <c r="A42" s="343"/>
      <c r="D42" s="352">
        <f t="shared" si="1"/>
        <v>114070000</v>
      </c>
      <c r="E42" s="343" t="s">
        <v>327</v>
      </c>
      <c r="F42" s="219">
        <v>12200000</v>
      </c>
    </row>
    <row r="43" spans="1:6" ht="26" x14ac:dyDescent="0.35">
      <c r="A43" s="342" t="s">
        <v>207</v>
      </c>
      <c r="B43" s="231">
        <f>B44</f>
        <v>114070000</v>
      </c>
      <c r="C43" s="351"/>
      <c r="D43" s="352">
        <f t="shared" si="1"/>
        <v>0</v>
      </c>
      <c r="E43" s="343"/>
      <c r="F43" s="219"/>
    </row>
    <row r="44" spans="1:6" ht="26" x14ac:dyDescent="0.35">
      <c r="A44" s="343" t="s">
        <v>208</v>
      </c>
      <c r="B44" s="219">
        <v>114070000</v>
      </c>
      <c r="C44" s="352"/>
      <c r="D44" s="352">
        <f t="shared" si="1"/>
        <v>58454000</v>
      </c>
      <c r="E44" s="341" t="s">
        <v>272</v>
      </c>
      <c r="F44" s="227">
        <f>SUM(F45)</f>
        <v>14989000</v>
      </c>
    </row>
    <row r="45" spans="1:6" ht="26" x14ac:dyDescent="0.35">
      <c r="A45" s="343"/>
      <c r="B45" s="219"/>
      <c r="C45" s="352"/>
      <c r="D45" s="352">
        <f t="shared" si="1"/>
        <v>58454000</v>
      </c>
      <c r="E45" s="342" t="s">
        <v>320</v>
      </c>
      <c r="F45" s="231">
        <f>SUM(F46)</f>
        <v>14989000</v>
      </c>
    </row>
    <row r="46" spans="1:6" ht="26" x14ac:dyDescent="0.35">
      <c r="A46" s="341" t="s">
        <v>266</v>
      </c>
      <c r="B46" s="227">
        <f>B47</f>
        <v>58454000</v>
      </c>
      <c r="C46" s="350"/>
      <c r="D46" s="352">
        <f t="shared" si="1"/>
        <v>19774000</v>
      </c>
      <c r="E46" s="343" t="s">
        <v>220</v>
      </c>
      <c r="F46" s="219">
        <v>14989000</v>
      </c>
    </row>
    <row r="47" spans="1:6" ht="15.5" x14ac:dyDescent="0.35">
      <c r="A47" s="342" t="s">
        <v>209</v>
      </c>
      <c r="B47" s="231">
        <f>SUM(B48:B49)</f>
        <v>58454000</v>
      </c>
      <c r="C47" s="354"/>
      <c r="D47" s="352">
        <f t="shared" si="1"/>
        <v>38680000</v>
      </c>
      <c r="E47" s="338"/>
      <c r="F47" s="237">
        <f>F10+F30+F34+F44</f>
        <v>862649148</v>
      </c>
    </row>
    <row r="48" spans="1:6" ht="26" x14ac:dyDescent="0.35">
      <c r="A48" s="343" t="s">
        <v>210</v>
      </c>
      <c r="B48" s="219">
        <v>19774000</v>
      </c>
      <c r="C48" s="314">
        <v>39070000</v>
      </c>
      <c r="D48" s="352">
        <f t="shared" si="1"/>
        <v>39070000</v>
      </c>
      <c r="E48" s="346"/>
      <c r="F48" s="274"/>
    </row>
    <row r="49" spans="1:6" ht="26" x14ac:dyDescent="0.35">
      <c r="A49" s="343" t="s">
        <v>211</v>
      </c>
      <c r="B49" s="219">
        <v>38680000</v>
      </c>
      <c r="C49" s="316"/>
      <c r="D49" s="352">
        <f t="shared" si="1"/>
        <v>173118000</v>
      </c>
      <c r="E49" s="346"/>
      <c r="F49" s="278"/>
    </row>
    <row r="50" spans="1:6" ht="15.5" x14ac:dyDescent="0.35">
      <c r="A50" s="343"/>
      <c r="B50" s="219"/>
      <c r="C50" s="316"/>
      <c r="D50" s="352">
        <f t="shared" si="1"/>
        <v>19828000</v>
      </c>
      <c r="E50" s="346"/>
      <c r="F50" s="278"/>
    </row>
    <row r="51" spans="1:6" ht="15.5" x14ac:dyDescent="0.35">
      <c r="A51" s="342" t="s">
        <v>276</v>
      </c>
      <c r="B51" s="355">
        <f>SUM(B52,B56)</f>
        <v>173118000</v>
      </c>
      <c r="D51" s="352">
        <f t="shared" si="1"/>
        <v>8628000</v>
      </c>
      <c r="E51" s="346"/>
      <c r="F51" s="289"/>
    </row>
    <row r="52" spans="1:6" ht="15.5" x14ac:dyDescent="0.35">
      <c r="A52" s="343" t="s">
        <v>280</v>
      </c>
      <c r="B52" s="231">
        <f>SUM(B53:B54)</f>
        <v>19828000</v>
      </c>
      <c r="C52" s="318">
        <v>425973720</v>
      </c>
      <c r="D52" s="352">
        <f t="shared" si="1"/>
        <v>437173720</v>
      </c>
      <c r="E52" s="346"/>
      <c r="F52" s="289"/>
    </row>
    <row r="53" spans="1:6" ht="15.5" x14ac:dyDescent="0.35">
      <c r="A53" s="343" t="s">
        <v>294</v>
      </c>
      <c r="B53" s="219">
        <v>8628000</v>
      </c>
      <c r="D53" s="352">
        <f t="shared" si="1"/>
        <v>0</v>
      </c>
      <c r="E53" s="346"/>
      <c r="F53" s="289"/>
    </row>
    <row r="54" spans="1:6" ht="15.5" x14ac:dyDescent="0.35">
      <c r="A54" s="343"/>
      <c r="B54" s="219">
        <v>11200000</v>
      </c>
      <c r="D54" s="352">
        <f t="shared" si="1"/>
        <v>153290000</v>
      </c>
      <c r="E54" s="347"/>
      <c r="F54" s="278"/>
    </row>
    <row r="55" spans="1:6" ht="26" x14ac:dyDescent="0.35">
      <c r="A55" s="342" t="s">
        <v>323</v>
      </c>
      <c r="B55" s="219"/>
      <c r="C55" s="316"/>
      <c r="D55" s="352">
        <f t="shared" si="1"/>
        <v>153290000</v>
      </c>
      <c r="E55" s="348"/>
      <c r="F55" s="287"/>
    </row>
    <row r="56" spans="1:6" ht="26" x14ac:dyDescent="0.35">
      <c r="A56" s="343" t="s">
        <v>326</v>
      </c>
      <c r="B56" s="231">
        <f>B57</f>
        <v>153290000</v>
      </c>
      <c r="C56" s="219">
        <v>6750000</v>
      </c>
      <c r="D56" s="352">
        <f t="shared" si="1"/>
        <v>6750000</v>
      </c>
    </row>
    <row r="57" spans="1:6" ht="39" x14ac:dyDescent="0.35">
      <c r="A57" s="343" t="s">
        <v>327</v>
      </c>
      <c r="B57" s="219">
        <v>153290000</v>
      </c>
      <c r="C57" s="219">
        <v>12200000</v>
      </c>
      <c r="D57" s="352">
        <f t="shared" si="1"/>
        <v>15800000</v>
      </c>
    </row>
    <row r="58" spans="1:6" ht="15.5" x14ac:dyDescent="0.35">
      <c r="A58" s="343"/>
      <c r="B58" s="219"/>
      <c r="D58" s="352">
        <f t="shared" si="1"/>
        <v>3600000</v>
      </c>
    </row>
    <row r="59" spans="1:6" ht="15.5" x14ac:dyDescent="0.35">
      <c r="A59" s="341" t="s">
        <v>268</v>
      </c>
      <c r="B59" s="227">
        <f>B60</f>
        <v>3600000</v>
      </c>
      <c r="C59" s="357"/>
      <c r="D59" s="352">
        <f t="shared" si="1"/>
        <v>0</v>
      </c>
    </row>
    <row r="60" spans="1:6" ht="26" x14ac:dyDescent="0.35">
      <c r="A60" s="342" t="s">
        <v>212</v>
      </c>
      <c r="B60" s="231">
        <f>SUM(B61:B63)</f>
        <v>3600000</v>
      </c>
      <c r="C60" s="354"/>
      <c r="D60" s="352">
        <f t="shared" si="1"/>
        <v>0</v>
      </c>
    </row>
    <row r="61" spans="1:6" ht="26" x14ac:dyDescent="0.35">
      <c r="A61" s="343" t="s">
        <v>286</v>
      </c>
      <c r="B61" s="219">
        <v>0</v>
      </c>
      <c r="C61" s="316"/>
      <c r="D61" s="352">
        <f t="shared" si="1"/>
        <v>3600000</v>
      </c>
    </row>
    <row r="62" spans="1:6" ht="15.5" x14ac:dyDescent="0.35">
      <c r="A62" s="343" t="s">
        <v>213</v>
      </c>
      <c r="B62" s="219">
        <v>0</v>
      </c>
      <c r="C62" s="316"/>
      <c r="D62" s="352">
        <f t="shared" si="1"/>
        <v>0</v>
      </c>
    </row>
    <row r="63" spans="1:6" ht="15.5" x14ac:dyDescent="0.35">
      <c r="A63" s="343"/>
      <c r="B63" s="219">
        <v>3600000</v>
      </c>
      <c r="C63" s="316"/>
      <c r="D63" s="352">
        <f t="shared" si="1"/>
        <v>81920000</v>
      </c>
    </row>
    <row r="64" spans="1:6" ht="26" x14ac:dyDescent="0.35">
      <c r="A64" s="342" t="s">
        <v>214</v>
      </c>
      <c r="B64" s="219"/>
      <c r="C64" s="354"/>
      <c r="D64" s="352">
        <f t="shared" si="1"/>
        <v>81920000</v>
      </c>
    </row>
    <row r="65" spans="1:4" ht="39" x14ac:dyDescent="0.35">
      <c r="A65" s="343" t="s">
        <v>215</v>
      </c>
      <c r="B65" s="227">
        <f>B66</f>
        <v>81920000</v>
      </c>
      <c r="C65" s="316"/>
      <c r="D65" s="352">
        <f t="shared" si="1"/>
        <v>0</v>
      </c>
    </row>
    <row r="66" spans="1:4" ht="15.5" x14ac:dyDescent="0.35">
      <c r="A66" s="343"/>
      <c r="B66" s="231">
        <f>SUM(B67:B71)</f>
        <v>81920000</v>
      </c>
      <c r="C66" s="316"/>
      <c r="D66" s="352">
        <f t="shared" si="1"/>
        <v>0</v>
      </c>
    </row>
    <row r="67" spans="1:4" ht="15.5" x14ac:dyDescent="0.35">
      <c r="A67" s="341" t="s">
        <v>270</v>
      </c>
      <c r="B67" s="219">
        <v>0</v>
      </c>
      <c r="D67" s="352">
        <f t="shared" si="1"/>
        <v>76000000</v>
      </c>
    </row>
    <row r="68" spans="1:4" ht="26" x14ac:dyDescent="0.35">
      <c r="A68" s="342" t="s">
        <v>253</v>
      </c>
      <c r="B68" s="219">
        <v>0</v>
      </c>
      <c r="D68" s="352">
        <f t="shared" si="1"/>
        <v>0</v>
      </c>
    </row>
    <row r="69" spans="1:4" ht="65" x14ac:dyDescent="0.35">
      <c r="A69" s="343" t="s">
        <v>216</v>
      </c>
      <c r="B69" s="219">
        <v>76000000</v>
      </c>
      <c r="D69" s="352">
        <f t="shared" si="1"/>
        <v>5920000</v>
      </c>
    </row>
    <row r="70" spans="1:4" ht="39" x14ac:dyDescent="0.35">
      <c r="A70" s="343" t="s">
        <v>217</v>
      </c>
      <c r="B70" s="219">
        <v>0</v>
      </c>
      <c r="D70" s="352">
        <f t="shared" si="1"/>
        <v>317092000</v>
      </c>
    </row>
    <row r="71" spans="1:4" ht="26" x14ac:dyDescent="0.35">
      <c r="A71" s="343" t="s">
        <v>218</v>
      </c>
      <c r="B71" s="219">
        <v>5920000</v>
      </c>
      <c r="D71" s="352" t="e">
        <f>#REF!+C71</f>
        <v>#REF!</v>
      </c>
    </row>
    <row r="72" spans="1:4" ht="15.5" x14ac:dyDescent="0.35">
      <c r="A72" s="343"/>
      <c r="B72" s="237">
        <f>B10+B38+B46+B51+B59+B65</f>
        <v>317092000</v>
      </c>
      <c r="D72" s="352">
        <f t="shared" ref="D72:D80" si="2">B73+C72</f>
        <v>0</v>
      </c>
    </row>
    <row r="73" spans="1:4" ht="26" x14ac:dyDescent="0.35">
      <c r="A73" s="341" t="s">
        <v>272</v>
      </c>
      <c r="C73" s="353"/>
      <c r="D73" s="352">
        <f t="shared" si="2"/>
        <v>0</v>
      </c>
    </row>
    <row r="74" spans="1:4" ht="26" x14ac:dyDescent="0.35">
      <c r="A74" s="342" t="s">
        <v>219</v>
      </c>
      <c r="B74" s="227"/>
      <c r="C74" s="354"/>
      <c r="D74" s="352">
        <f t="shared" si="2"/>
        <v>0</v>
      </c>
    </row>
    <row r="75" spans="1:4" ht="15.5" x14ac:dyDescent="0.35">
      <c r="A75" s="343" t="s">
        <v>312</v>
      </c>
      <c r="B75" s="231"/>
      <c r="C75" s="316"/>
      <c r="D75" s="352">
        <f t="shared" si="2"/>
        <v>0</v>
      </c>
    </row>
    <row r="76" spans="1:4" ht="15.5" x14ac:dyDescent="0.35">
      <c r="A76" s="343" t="s">
        <v>220</v>
      </c>
      <c r="B76" s="219">
        <v>0</v>
      </c>
      <c r="C76" s="219">
        <v>14989000</v>
      </c>
      <c r="D76" s="352">
        <f t="shared" si="2"/>
        <v>14989000</v>
      </c>
    </row>
    <row r="77" spans="1:4" ht="15.5" x14ac:dyDescent="0.35">
      <c r="A77" s="343" t="s">
        <v>221</v>
      </c>
      <c r="B77" s="219">
        <v>0</v>
      </c>
      <c r="C77" s="316"/>
      <c r="D77" s="352">
        <f t="shared" si="2"/>
        <v>66500000</v>
      </c>
    </row>
    <row r="78" spans="1:4" ht="15.5" x14ac:dyDescent="0.35">
      <c r="A78" s="343" t="s">
        <v>313</v>
      </c>
      <c r="B78" s="219">
        <v>66500000</v>
      </c>
      <c r="C78" s="316"/>
      <c r="D78" s="352">
        <f t="shared" si="2"/>
        <v>0</v>
      </c>
    </row>
    <row r="79" spans="1:4" ht="26" x14ac:dyDescent="0.35">
      <c r="A79" s="343" t="s">
        <v>222</v>
      </c>
      <c r="B79" s="219">
        <v>0</v>
      </c>
      <c r="C79" s="316"/>
      <c r="D79" s="352">
        <f t="shared" si="2"/>
        <v>5920000</v>
      </c>
    </row>
    <row r="80" spans="1:4" ht="15.5" x14ac:dyDescent="0.35">
      <c r="A80" s="343"/>
      <c r="B80" s="219">
        <v>5920000</v>
      </c>
      <c r="C80" s="237">
        <f>SUM(C12:C79)</f>
        <v>708608498</v>
      </c>
      <c r="D80" s="281">
        <f t="shared" si="2"/>
        <v>5800734911</v>
      </c>
    </row>
    <row r="81" spans="1:2" ht="15.5" x14ac:dyDescent="0.35">
      <c r="A81" s="338"/>
      <c r="B81" s="237">
        <f>SUM(B12:B80)</f>
        <v>5092126413</v>
      </c>
    </row>
    <row r="82" spans="1:2" x14ac:dyDescent="0.35">
      <c r="A82" s="346"/>
      <c r="B82" s="88" t="e">
        <f>#REF!+B81</f>
        <v>#REF!</v>
      </c>
    </row>
    <row r="83" spans="1:2" x14ac:dyDescent="0.35">
      <c r="A83" s="346"/>
    </row>
    <row r="84" spans="1:2" x14ac:dyDescent="0.35">
      <c r="A84" s="346"/>
    </row>
    <row r="85" spans="1:2" x14ac:dyDescent="0.35">
      <c r="A85" s="346"/>
    </row>
    <row r="86" spans="1:2" x14ac:dyDescent="0.35">
      <c r="A86" s="346"/>
    </row>
    <row r="87" spans="1:2" x14ac:dyDescent="0.35">
      <c r="A87" s="346"/>
    </row>
    <row r="88" spans="1:2" x14ac:dyDescent="0.35">
      <c r="A88" s="347"/>
    </row>
    <row r="89" spans="1:2" x14ac:dyDescent="0.35">
      <c r="A89" s="348"/>
    </row>
    <row r="90" spans="1:2" x14ac:dyDescent="0.35">
      <c r="A90" s="349"/>
    </row>
  </sheetData>
  <protectedRanges>
    <protectedRange sqref="C21" name="Range1_2_2"/>
    <protectedRange sqref="C48 C52 C56:C57 C76" name="Range1_3_2"/>
    <protectedRange sqref="C10:D12 C18:D20 C25:C26 C43:C47 B74:B76 C32:C33 C38:C40 C60:C66 C55 C28:C29 C49:C50 B78:B80 B77 C13:C15 D13:D79 C35:C36 C77:C79 C73:C75" name="Range1_1"/>
    <protectedRange sqref="C16" name="Range1_3_1_1"/>
    <protectedRange sqref="F15" name="Range1_2"/>
    <protectedRange sqref="F34:F46" name="Range1_3"/>
    <protectedRange sqref="B10:B15 B18:B20 B22:B29 B43:B50 B52:B71 B32:B36 B38:B41" name="Range1"/>
    <protectedRange sqref="B21" name="Range1_2_1"/>
    <protectedRange sqref="B16" name="Range1_3_1"/>
  </protectedRange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90"/>
  <sheetViews>
    <sheetView topLeftCell="B1" zoomScale="70" zoomScaleNormal="70" workbookViewId="0">
      <selection activeCell="K12" sqref="K12:K79"/>
    </sheetView>
  </sheetViews>
  <sheetFormatPr defaultRowHeight="14.5" x14ac:dyDescent="0.35"/>
  <cols>
    <col min="1" max="1" width="50.26953125" style="88" customWidth="1"/>
    <col min="2" max="2" width="17.7265625" style="88" customWidth="1"/>
    <col min="3" max="3" width="16.26953125" customWidth="1"/>
    <col min="5" max="5" width="50.26953125" style="88" customWidth="1"/>
    <col min="6" max="6" width="18.453125" style="88" customWidth="1"/>
    <col min="8" max="8" width="54.1796875" style="88" customWidth="1"/>
    <col min="9" max="9" width="14.26953125" customWidth="1"/>
    <col min="10" max="10" width="15.7265625" customWidth="1"/>
    <col min="11" max="11" width="20.81640625" customWidth="1"/>
  </cols>
  <sheetData>
    <row r="1" spans="1:11" x14ac:dyDescent="0.35">
      <c r="A1"/>
      <c r="B1"/>
      <c r="E1"/>
      <c r="F1"/>
      <c r="H1"/>
    </row>
    <row r="2" spans="1:11" x14ac:dyDescent="0.35">
      <c r="A2"/>
      <c r="B2"/>
      <c r="E2"/>
      <c r="F2"/>
      <c r="H2"/>
    </row>
    <row r="3" spans="1:11" x14ac:dyDescent="0.35">
      <c r="A3" s="248"/>
      <c r="B3" s="248"/>
      <c r="E3" s="248"/>
      <c r="F3" s="248"/>
      <c r="H3" s="248"/>
    </row>
    <row r="4" spans="1:11" ht="15.5" x14ac:dyDescent="0.35">
      <c r="A4" s="252" t="s">
        <v>238</v>
      </c>
      <c r="B4" s="253"/>
      <c r="E4" s="252" t="s">
        <v>309</v>
      </c>
      <c r="F4" s="253"/>
      <c r="H4" s="252" t="s">
        <v>318</v>
      </c>
    </row>
    <row r="5" spans="1:11" ht="15.5" x14ac:dyDescent="0.35">
      <c r="A5" s="252" t="s">
        <v>337</v>
      </c>
      <c r="B5" s="253"/>
      <c r="E5" s="252" t="s">
        <v>337</v>
      </c>
      <c r="F5" s="253"/>
      <c r="H5" s="252" t="s">
        <v>337</v>
      </c>
    </row>
    <row r="6" spans="1:11" x14ac:dyDescent="0.35">
      <c r="A6"/>
      <c r="B6"/>
      <c r="E6"/>
      <c r="F6"/>
      <c r="H6"/>
    </row>
    <row r="7" spans="1:11" x14ac:dyDescent="0.35">
      <c r="A7"/>
      <c r="B7"/>
      <c r="E7"/>
      <c r="F7"/>
      <c r="H7"/>
    </row>
    <row r="8" spans="1:11" x14ac:dyDescent="0.35">
      <c r="A8"/>
      <c r="B8"/>
      <c r="E8"/>
      <c r="F8"/>
      <c r="H8"/>
    </row>
    <row r="9" spans="1:11" ht="15.5" x14ac:dyDescent="0.35">
      <c r="A9"/>
      <c r="B9" s="239"/>
      <c r="E9"/>
      <c r="F9" s="239"/>
      <c r="H9"/>
    </row>
    <row r="10" spans="1:11" ht="31" x14ac:dyDescent="0.35">
      <c r="A10" s="234" t="s">
        <v>262</v>
      </c>
      <c r="B10" s="227"/>
      <c r="E10" s="234" t="s">
        <v>262</v>
      </c>
      <c r="F10" s="227"/>
      <c r="H10" s="234" t="s">
        <v>262</v>
      </c>
      <c r="I10" s="227"/>
    </row>
    <row r="11" spans="1:11" ht="31" x14ac:dyDescent="0.35">
      <c r="A11" s="235" t="s">
        <v>196</v>
      </c>
      <c r="B11" s="231"/>
      <c r="E11" s="235" t="s">
        <v>199</v>
      </c>
      <c r="F11" s="231"/>
      <c r="H11" s="235" t="s">
        <v>196</v>
      </c>
      <c r="I11" s="231"/>
    </row>
    <row r="12" spans="1:11" ht="15.5" x14ac:dyDescent="0.35">
      <c r="A12" s="236" t="s">
        <v>336</v>
      </c>
      <c r="B12" s="219">
        <v>12031600</v>
      </c>
      <c r="E12" s="243" t="s">
        <v>200</v>
      </c>
      <c r="F12" s="315"/>
      <c r="H12" s="236" t="s">
        <v>197</v>
      </c>
      <c r="I12" s="88">
        <v>12031600</v>
      </c>
      <c r="K12" s="319">
        <f>I12+J12</f>
        <v>12031600</v>
      </c>
    </row>
    <row r="13" spans="1:11" ht="15.5" x14ac:dyDescent="0.35">
      <c r="A13" s="236" t="s">
        <v>287</v>
      </c>
      <c r="B13" s="219">
        <v>12865000</v>
      </c>
      <c r="E13" s="243"/>
      <c r="F13" s="219"/>
      <c r="H13" s="236" t="s">
        <v>287</v>
      </c>
      <c r="I13" s="88">
        <v>12865000</v>
      </c>
      <c r="K13" s="319">
        <f t="shared" ref="K13:K76" si="0">I13+J13</f>
        <v>12865000</v>
      </c>
    </row>
    <row r="14" spans="1:11" ht="15.5" x14ac:dyDescent="0.35">
      <c r="A14" s="236"/>
      <c r="B14" s="219"/>
      <c r="E14" s="265" t="s">
        <v>193</v>
      </c>
      <c r="F14" s="231"/>
      <c r="H14" s="236"/>
      <c r="I14" s="219"/>
      <c r="K14" s="319">
        <f t="shared" si="0"/>
        <v>0</v>
      </c>
    </row>
    <row r="15" spans="1:11" ht="31" x14ac:dyDescent="0.35">
      <c r="A15" s="235" t="s">
        <v>199</v>
      </c>
      <c r="B15" s="231"/>
      <c r="E15" s="243" t="s">
        <v>42</v>
      </c>
      <c r="H15" s="235" t="s">
        <v>199</v>
      </c>
      <c r="I15" s="231"/>
      <c r="K15" s="319">
        <f t="shared" si="0"/>
        <v>0</v>
      </c>
    </row>
    <row r="16" spans="1:11" ht="15.5" x14ac:dyDescent="0.35">
      <c r="A16" s="243" t="s">
        <v>239</v>
      </c>
      <c r="B16" s="219">
        <v>3677308350</v>
      </c>
      <c r="E16" s="236" t="s">
        <v>194</v>
      </c>
      <c r="H16" s="243" t="s">
        <v>239</v>
      </c>
      <c r="I16" s="88">
        <v>3677308350</v>
      </c>
      <c r="K16" s="319">
        <f t="shared" si="0"/>
        <v>3677308350</v>
      </c>
    </row>
    <row r="17" spans="1:11" ht="15.5" x14ac:dyDescent="0.35">
      <c r="A17" s="243" t="s">
        <v>200</v>
      </c>
      <c r="B17" s="219">
        <v>186281498</v>
      </c>
      <c r="E17" s="243" t="s">
        <v>40</v>
      </c>
      <c r="H17" s="243" t="s">
        <v>200</v>
      </c>
      <c r="I17" s="88">
        <v>186281498</v>
      </c>
      <c r="J17" s="315">
        <v>67376376</v>
      </c>
      <c r="K17" s="319">
        <f t="shared" si="0"/>
        <v>253657874</v>
      </c>
    </row>
    <row r="18" spans="1:11" ht="31" x14ac:dyDescent="0.35">
      <c r="A18" s="243" t="s">
        <v>317</v>
      </c>
      <c r="B18" s="219">
        <v>10219800</v>
      </c>
      <c r="E18" s="243" t="s">
        <v>195</v>
      </c>
      <c r="H18" s="243" t="s">
        <v>289</v>
      </c>
      <c r="I18" s="88">
        <v>10219800</v>
      </c>
      <c r="K18" s="319">
        <f t="shared" si="0"/>
        <v>10219800</v>
      </c>
    </row>
    <row r="19" spans="1:11" ht="15.5" x14ac:dyDescent="0.35">
      <c r="A19" s="243"/>
      <c r="B19" s="219"/>
      <c r="E19" s="236"/>
      <c r="F19" s="219"/>
      <c r="H19" s="243"/>
      <c r="I19" s="219"/>
      <c r="K19" s="319">
        <f t="shared" si="0"/>
        <v>0</v>
      </c>
    </row>
    <row r="20" spans="1:11" ht="31" x14ac:dyDescent="0.35">
      <c r="A20" s="265" t="s">
        <v>193</v>
      </c>
      <c r="B20" s="231"/>
      <c r="E20" s="235" t="s">
        <v>282</v>
      </c>
      <c r="F20" s="231">
        <f>C27</f>
        <v>0</v>
      </c>
      <c r="H20" s="265" t="s">
        <v>193</v>
      </c>
      <c r="I20" s="231"/>
      <c r="K20" s="319">
        <f t="shared" si="0"/>
        <v>0</v>
      </c>
    </row>
    <row r="21" spans="1:11" ht="31" x14ac:dyDescent="0.35">
      <c r="A21" s="243" t="s">
        <v>42</v>
      </c>
      <c r="B21" s="219">
        <v>1457600</v>
      </c>
      <c r="E21" s="243" t="s">
        <v>284</v>
      </c>
      <c r="H21" s="243" t="s">
        <v>42</v>
      </c>
      <c r="I21" s="88">
        <v>1457600</v>
      </c>
      <c r="J21" s="219">
        <v>3402705</v>
      </c>
      <c r="K21" s="319">
        <f t="shared" si="0"/>
        <v>4860305</v>
      </c>
    </row>
    <row r="22" spans="1:11" ht="15.5" x14ac:dyDescent="0.35">
      <c r="A22" s="236" t="s">
        <v>194</v>
      </c>
      <c r="B22" s="219">
        <v>27339600</v>
      </c>
      <c r="E22" s="243"/>
      <c r="F22" s="219"/>
      <c r="H22" s="236" t="s">
        <v>194</v>
      </c>
      <c r="I22" s="88">
        <v>27339600</v>
      </c>
      <c r="J22" s="219">
        <v>36986643</v>
      </c>
      <c r="K22" s="319">
        <f t="shared" si="0"/>
        <v>64326243</v>
      </c>
    </row>
    <row r="23" spans="1:11" ht="31" x14ac:dyDescent="0.35">
      <c r="A23" s="243" t="s">
        <v>40</v>
      </c>
      <c r="B23" s="219">
        <v>8025000</v>
      </c>
      <c r="E23" s="235" t="s">
        <v>201</v>
      </c>
      <c r="F23" s="231">
        <f>SUM(J31:J31)</f>
        <v>50729005</v>
      </c>
      <c r="H23" s="243" t="s">
        <v>40</v>
      </c>
      <c r="I23" s="88">
        <v>8025000</v>
      </c>
      <c r="J23" s="219">
        <v>8432000</v>
      </c>
      <c r="K23" s="319">
        <f t="shared" si="0"/>
        <v>16457000</v>
      </c>
    </row>
    <row r="24" spans="1:11" ht="15.5" x14ac:dyDescent="0.35">
      <c r="A24" s="243" t="s">
        <v>195</v>
      </c>
      <c r="B24" s="219">
        <v>68566158</v>
      </c>
      <c r="E24" s="243" t="s">
        <v>202</v>
      </c>
      <c r="H24" s="243" t="s">
        <v>195</v>
      </c>
      <c r="I24" s="88">
        <v>68566158</v>
      </c>
      <c r="J24" s="219">
        <v>16035000</v>
      </c>
      <c r="K24" s="319">
        <f t="shared" si="0"/>
        <v>84601158</v>
      </c>
    </row>
    <row r="25" spans="1:11" ht="15.5" x14ac:dyDescent="0.35">
      <c r="A25" s="236"/>
      <c r="B25" s="219"/>
      <c r="E25" s="243"/>
      <c r="F25" s="219"/>
      <c r="H25" s="236"/>
      <c r="I25" s="219"/>
      <c r="K25" s="319">
        <f t="shared" si="0"/>
        <v>0</v>
      </c>
    </row>
    <row r="26" spans="1:11" ht="31" x14ac:dyDescent="0.35">
      <c r="A26" s="235" t="s">
        <v>282</v>
      </c>
      <c r="B26" s="231"/>
      <c r="E26" s="235" t="s">
        <v>203</v>
      </c>
      <c r="F26" s="231">
        <f>SUM(F27:F28)</f>
        <v>0</v>
      </c>
      <c r="H26" s="235" t="s">
        <v>282</v>
      </c>
      <c r="I26" s="231"/>
      <c r="K26" s="319">
        <f t="shared" si="0"/>
        <v>0</v>
      </c>
    </row>
    <row r="27" spans="1:11" ht="15.5" x14ac:dyDescent="0.35">
      <c r="A27" s="243" t="s">
        <v>284</v>
      </c>
      <c r="B27" s="219">
        <v>0</v>
      </c>
      <c r="C27" s="318"/>
      <c r="E27" s="243" t="s">
        <v>311</v>
      </c>
      <c r="F27" s="314"/>
      <c r="H27" s="243" t="s">
        <v>284</v>
      </c>
      <c r="I27" s="219">
        <v>0</v>
      </c>
      <c r="J27" s="318">
        <v>7770000</v>
      </c>
      <c r="K27" s="319">
        <f t="shared" si="0"/>
        <v>7770000</v>
      </c>
    </row>
    <row r="28" spans="1:11" ht="31" x14ac:dyDescent="0.35">
      <c r="A28" s="243"/>
      <c r="B28" s="219"/>
      <c r="E28" s="243" t="s">
        <v>315</v>
      </c>
      <c r="H28" s="243"/>
      <c r="I28" s="219"/>
      <c r="K28" s="319">
        <f t="shared" si="0"/>
        <v>0</v>
      </c>
    </row>
    <row r="29" spans="1:11" ht="31" x14ac:dyDescent="0.35">
      <c r="A29" s="235" t="s">
        <v>201</v>
      </c>
      <c r="B29" s="231"/>
      <c r="E29" s="243"/>
      <c r="F29" s="219"/>
      <c r="H29" s="235" t="s">
        <v>201</v>
      </c>
      <c r="I29" s="231"/>
      <c r="K29" s="319">
        <f t="shared" si="0"/>
        <v>0</v>
      </c>
    </row>
    <row r="30" spans="1:11" ht="31" x14ac:dyDescent="0.35">
      <c r="A30" s="243" t="s">
        <v>291</v>
      </c>
      <c r="B30" s="219">
        <v>1812600</v>
      </c>
      <c r="E30" s="234" t="s">
        <v>264</v>
      </c>
      <c r="F30" s="227">
        <f>F31</f>
        <v>69000000</v>
      </c>
      <c r="H30" s="243" t="s">
        <v>291</v>
      </c>
      <c r="I30" s="88">
        <v>1812600</v>
      </c>
      <c r="K30" s="319">
        <f t="shared" si="0"/>
        <v>1812600</v>
      </c>
    </row>
    <row r="31" spans="1:11" ht="46.5" x14ac:dyDescent="0.35">
      <c r="A31" s="243" t="s">
        <v>202</v>
      </c>
      <c r="B31" s="219">
        <v>37300616</v>
      </c>
      <c r="E31" s="235" t="s">
        <v>205</v>
      </c>
      <c r="F31" s="231">
        <f>SUM(J41:J41)</f>
        <v>69000000</v>
      </c>
      <c r="H31" s="243" t="s">
        <v>202</v>
      </c>
      <c r="I31" s="88">
        <v>37300616</v>
      </c>
      <c r="J31" s="313">
        <v>50729005</v>
      </c>
      <c r="K31" s="319">
        <f t="shared" si="0"/>
        <v>88029621</v>
      </c>
    </row>
    <row r="32" spans="1:11" ht="31" x14ac:dyDescent="0.35">
      <c r="A32" s="243"/>
      <c r="B32" s="219"/>
      <c r="E32" s="236" t="s">
        <v>310</v>
      </c>
      <c r="H32" s="243"/>
      <c r="I32" s="219"/>
      <c r="K32" s="319">
        <f t="shared" si="0"/>
        <v>0</v>
      </c>
    </row>
    <row r="33" spans="1:11" ht="31" x14ac:dyDescent="0.35">
      <c r="A33" s="235" t="s">
        <v>203</v>
      </c>
      <c r="B33" s="231"/>
      <c r="E33" s="236"/>
      <c r="H33" s="235" t="s">
        <v>203</v>
      </c>
      <c r="K33" s="319">
        <f t="shared" si="0"/>
        <v>0</v>
      </c>
    </row>
    <row r="34" spans="1:11" ht="31" x14ac:dyDescent="0.35">
      <c r="A34" s="243" t="s">
        <v>308</v>
      </c>
      <c r="B34" s="219">
        <v>96876200</v>
      </c>
      <c r="E34" s="234" t="s">
        <v>266</v>
      </c>
      <c r="F34" s="227">
        <f>SUM(F37,F35,F40)</f>
        <v>1009532836</v>
      </c>
      <c r="H34" s="243" t="s">
        <v>311</v>
      </c>
      <c r="J34" s="314">
        <v>5630000</v>
      </c>
      <c r="K34" s="319">
        <f t="shared" si="0"/>
        <v>5630000</v>
      </c>
    </row>
    <row r="35" spans="1:11" ht="31" x14ac:dyDescent="0.35">
      <c r="A35" s="243" t="s">
        <v>285</v>
      </c>
      <c r="B35" s="219">
        <v>1220000</v>
      </c>
      <c r="C35" s="314"/>
      <c r="E35" s="235" t="s">
        <v>209</v>
      </c>
      <c r="F35" s="231">
        <f>SUM(J48)</f>
        <v>53050000</v>
      </c>
      <c r="H35" s="243" t="s">
        <v>308</v>
      </c>
      <c r="I35" s="88">
        <v>96876200</v>
      </c>
      <c r="K35" s="319">
        <f t="shared" si="0"/>
        <v>96876200</v>
      </c>
    </row>
    <row r="36" spans="1:11" ht="31" x14ac:dyDescent="0.35">
      <c r="A36" s="243"/>
      <c r="E36" s="236" t="s">
        <v>278</v>
      </c>
      <c r="H36" s="243" t="s">
        <v>285</v>
      </c>
      <c r="I36" s="219">
        <v>1220000</v>
      </c>
      <c r="J36" s="314">
        <v>16563420</v>
      </c>
      <c r="K36" s="319">
        <f t="shared" si="0"/>
        <v>17783420</v>
      </c>
    </row>
    <row r="37" spans="1:11" ht="31" x14ac:dyDescent="0.35">
      <c r="A37" s="234" t="s">
        <v>264</v>
      </c>
      <c r="B37" s="227"/>
      <c r="E37" s="235" t="s">
        <v>276</v>
      </c>
      <c r="F37" s="231">
        <f>SUM(J52:J53)</f>
        <v>937532836</v>
      </c>
      <c r="H37" s="243"/>
      <c r="K37" s="319">
        <f t="shared" si="0"/>
        <v>0</v>
      </c>
    </row>
    <row r="38" spans="1:11" ht="46.5" x14ac:dyDescent="0.35">
      <c r="A38" s="235" t="s">
        <v>205</v>
      </c>
      <c r="B38" s="231"/>
      <c r="E38" s="236" t="s">
        <v>280</v>
      </c>
      <c r="H38" s="234" t="s">
        <v>264</v>
      </c>
      <c r="K38" s="319">
        <f t="shared" si="0"/>
        <v>0</v>
      </c>
    </row>
    <row r="39" spans="1:11" ht="46.5" x14ac:dyDescent="0.35">
      <c r="A39" s="236" t="s">
        <v>206</v>
      </c>
      <c r="B39" s="219">
        <v>146030000</v>
      </c>
      <c r="E39" s="236" t="s">
        <v>294</v>
      </c>
      <c r="H39" s="235" t="s">
        <v>205</v>
      </c>
      <c r="K39" s="319">
        <f t="shared" si="0"/>
        <v>0</v>
      </c>
    </row>
    <row r="40" spans="1:11" ht="31" x14ac:dyDescent="0.35">
      <c r="A40" s="236"/>
      <c r="B40" s="219"/>
      <c r="E40" s="235" t="s">
        <v>323</v>
      </c>
      <c r="F40" s="231">
        <f>SUM(J56:J57)</f>
        <v>18950000</v>
      </c>
      <c r="H40" s="236" t="s">
        <v>206</v>
      </c>
      <c r="I40" s="219">
        <v>146030000</v>
      </c>
      <c r="K40" s="319">
        <f t="shared" si="0"/>
        <v>146030000</v>
      </c>
    </row>
    <row r="41" spans="1:11" ht="31" x14ac:dyDescent="0.35">
      <c r="A41" s="235" t="s">
        <v>207</v>
      </c>
      <c r="B41" s="231">
        <f>B42</f>
        <v>146030000</v>
      </c>
      <c r="E41" s="236" t="s">
        <v>326</v>
      </c>
      <c r="H41" s="236" t="s">
        <v>310</v>
      </c>
      <c r="J41" s="314">
        <v>69000000</v>
      </c>
      <c r="K41" s="319">
        <f t="shared" si="0"/>
        <v>69000000</v>
      </c>
    </row>
    <row r="42" spans="1:11" ht="46.5" x14ac:dyDescent="0.35">
      <c r="A42" s="236" t="s">
        <v>208</v>
      </c>
      <c r="B42" s="219">
        <v>146030000</v>
      </c>
      <c r="E42" s="236" t="s">
        <v>327</v>
      </c>
      <c r="H42" s="236"/>
      <c r="K42" s="319">
        <f t="shared" si="0"/>
        <v>0</v>
      </c>
    </row>
    <row r="43" spans="1:11" ht="31" x14ac:dyDescent="0.35">
      <c r="A43" s="236"/>
      <c r="B43" s="219"/>
      <c r="E43" s="236"/>
      <c r="F43" s="219"/>
      <c r="H43" s="235" t="s">
        <v>207</v>
      </c>
      <c r="K43" s="319">
        <f t="shared" si="0"/>
        <v>0</v>
      </c>
    </row>
    <row r="44" spans="1:11" ht="31" x14ac:dyDescent="0.35">
      <c r="A44" s="234" t="s">
        <v>266</v>
      </c>
      <c r="B44" s="227">
        <f>B45</f>
        <v>121098000</v>
      </c>
      <c r="E44" s="234" t="s">
        <v>272</v>
      </c>
      <c r="F44" s="227">
        <f>SUM(F45)</f>
        <v>14989000</v>
      </c>
      <c r="H44" s="236" t="s">
        <v>208</v>
      </c>
      <c r="I44" s="219">
        <v>146030000</v>
      </c>
      <c r="K44" s="319">
        <f t="shared" si="0"/>
        <v>146030000</v>
      </c>
    </row>
    <row r="45" spans="1:11" ht="46.5" x14ac:dyDescent="0.35">
      <c r="A45" s="235" t="s">
        <v>209</v>
      </c>
      <c r="B45" s="231">
        <f>SUM(B46:B47)</f>
        <v>121098000</v>
      </c>
      <c r="E45" s="235" t="s">
        <v>320</v>
      </c>
      <c r="F45" s="231">
        <f>SUM(J76)</f>
        <v>14989000</v>
      </c>
      <c r="H45" s="236"/>
      <c r="K45" s="319">
        <f t="shared" si="0"/>
        <v>0</v>
      </c>
    </row>
    <row r="46" spans="1:11" ht="31" x14ac:dyDescent="0.35">
      <c r="A46" s="236" t="s">
        <v>210</v>
      </c>
      <c r="B46" s="219">
        <v>19774000</v>
      </c>
      <c r="E46" s="236" t="s">
        <v>220</v>
      </c>
      <c r="H46" s="234" t="s">
        <v>266</v>
      </c>
      <c r="K46" s="319">
        <f t="shared" si="0"/>
        <v>0</v>
      </c>
    </row>
    <row r="47" spans="1:11" ht="31" x14ac:dyDescent="0.35">
      <c r="A47" s="236" t="s">
        <v>211</v>
      </c>
      <c r="B47" s="219">
        <v>101324000</v>
      </c>
      <c r="E47"/>
      <c r="F47" s="237"/>
      <c r="H47" s="235" t="s">
        <v>209</v>
      </c>
      <c r="K47" s="319">
        <f t="shared" si="0"/>
        <v>0</v>
      </c>
    </row>
    <row r="48" spans="1:11" ht="31" x14ac:dyDescent="0.35">
      <c r="A48" s="236"/>
      <c r="B48" s="219"/>
      <c r="E48" s="272"/>
      <c r="F48" s="278"/>
      <c r="H48" s="236" t="s">
        <v>210</v>
      </c>
      <c r="I48" s="219">
        <v>19774000</v>
      </c>
      <c r="J48" s="314">
        <v>53050000</v>
      </c>
      <c r="K48" s="319">
        <f t="shared" si="0"/>
        <v>72824000</v>
      </c>
    </row>
    <row r="49" spans="1:11" ht="31" x14ac:dyDescent="0.35">
      <c r="A49" s="234" t="s">
        <v>268</v>
      </c>
      <c r="B49" s="355">
        <f>SUM(B50,B54)</f>
        <v>210318000</v>
      </c>
      <c r="E49" s="272"/>
      <c r="F49" s="278"/>
      <c r="H49" s="236" t="s">
        <v>211</v>
      </c>
      <c r="I49" s="88">
        <v>101324000</v>
      </c>
      <c r="K49" s="319">
        <f t="shared" si="0"/>
        <v>101324000</v>
      </c>
    </row>
    <row r="50" spans="1:11" ht="31" x14ac:dyDescent="0.35">
      <c r="A50" s="235" t="s">
        <v>212</v>
      </c>
      <c r="B50" s="231">
        <f>SUM(B51:B52)</f>
        <v>19828000</v>
      </c>
      <c r="E50" s="272"/>
      <c r="F50" s="289"/>
      <c r="H50" s="236"/>
      <c r="K50" s="319">
        <f t="shared" si="0"/>
        <v>0</v>
      </c>
    </row>
    <row r="51" spans="1:11" ht="46.5" x14ac:dyDescent="0.35">
      <c r="A51" s="236" t="s">
        <v>286</v>
      </c>
      <c r="B51" s="219">
        <v>8628000</v>
      </c>
      <c r="E51" s="272"/>
      <c r="F51" s="289"/>
      <c r="H51" s="235" t="s">
        <v>276</v>
      </c>
      <c r="K51" s="319">
        <f t="shared" si="0"/>
        <v>0</v>
      </c>
    </row>
    <row r="52" spans="1:11" ht="31" x14ac:dyDescent="0.35">
      <c r="A52" s="236" t="s">
        <v>213</v>
      </c>
      <c r="B52" s="219">
        <v>11200000</v>
      </c>
      <c r="E52" s="272"/>
      <c r="F52" s="289"/>
      <c r="H52" s="236" t="s">
        <v>280</v>
      </c>
      <c r="J52" s="318">
        <v>926972836</v>
      </c>
      <c r="K52" s="319">
        <f t="shared" si="0"/>
        <v>926972836</v>
      </c>
    </row>
    <row r="53" spans="1:11" ht="15.5" x14ac:dyDescent="0.35">
      <c r="A53" s="236"/>
      <c r="B53" s="219"/>
      <c r="E53" s="272"/>
      <c r="F53" s="278"/>
      <c r="H53" s="236" t="s">
        <v>294</v>
      </c>
      <c r="J53" s="219">
        <v>10560000</v>
      </c>
      <c r="K53" s="319">
        <f t="shared" si="0"/>
        <v>10560000</v>
      </c>
    </row>
    <row r="54" spans="1:11" ht="46.5" x14ac:dyDescent="0.35">
      <c r="A54" s="235" t="s">
        <v>214</v>
      </c>
      <c r="B54" s="231">
        <f>B55</f>
        <v>190490000</v>
      </c>
      <c r="E54" s="278"/>
      <c r="F54" s="287"/>
      <c r="H54" s="236"/>
      <c r="K54" s="319">
        <f t="shared" si="0"/>
        <v>0</v>
      </c>
    </row>
    <row r="55" spans="1:11" ht="46.5" x14ac:dyDescent="0.35">
      <c r="A55" s="236" t="s">
        <v>332</v>
      </c>
      <c r="B55" s="219">
        <v>190490000</v>
      </c>
      <c r="E55" s="284"/>
      <c r="H55" s="235" t="s">
        <v>323</v>
      </c>
      <c r="K55" s="319">
        <f t="shared" si="0"/>
        <v>0</v>
      </c>
    </row>
    <row r="56" spans="1:11" ht="31" x14ac:dyDescent="0.35">
      <c r="A56" s="236"/>
      <c r="B56" s="219"/>
      <c r="H56" s="236" t="s">
        <v>326</v>
      </c>
      <c r="J56" s="219">
        <v>6750000</v>
      </c>
      <c r="K56" s="319">
        <f t="shared" si="0"/>
        <v>6750000</v>
      </c>
    </row>
    <row r="57" spans="1:11" ht="46.5" x14ac:dyDescent="0.35">
      <c r="A57" s="234" t="s">
        <v>270</v>
      </c>
      <c r="B57" s="227">
        <f>B58</f>
        <v>25470000</v>
      </c>
      <c r="H57" s="236" t="s">
        <v>327</v>
      </c>
      <c r="J57" s="219">
        <v>12200000</v>
      </c>
      <c r="K57" s="319">
        <f t="shared" si="0"/>
        <v>12200000</v>
      </c>
    </row>
    <row r="58" spans="1:11" ht="31" x14ac:dyDescent="0.35">
      <c r="A58" s="235" t="s">
        <v>253</v>
      </c>
      <c r="B58" s="231">
        <f>SUM(B59:B61)</f>
        <v>25470000</v>
      </c>
      <c r="H58" s="236"/>
      <c r="K58" s="319">
        <f t="shared" si="0"/>
        <v>0</v>
      </c>
    </row>
    <row r="59" spans="1:11" ht="93" x14ac:dyDescent="0.35">
      <c r="A59" s="236" t="s">
        <v>216</v>
      </c>
      <c r="B59" s="219">
        <v>21870000</v>
      </c>
      <c r="H59" s="234" t="s">
        <v>268</v>
      </c>
      <c r="K59" s="319">
        <f t="shared" si="0"/>
        <v>0</v>
      </c>
    </row>
    <row r="60" spans="1:11" ht="46.5" x14ac:dyDescent="0.35">
      <c r="A60" s="236" t="s">
        <v>217</v>
      </c>
      <c r="B60" s="219">
        <v>0</v>
      </c>
      <c r="H60" s="235" t="s">
        <v>212</v>
      </c>
      <c r="K60" s="319">
        <f t="shared" si="0"/>
        <v>0</v>
      </c>
    </row>
    <row r="61" spans="1:11" ht="46.5" x14ac:dyDescent="0.35">
      <c r="A61" s="236" t="s">
        <v>218</v>
      </c>
      <c r="B61" s="219">
        <v>3600000</v>
      </c>
      <c r="H61" s="236" t="s">
        <v>286</v>
      </c>
      <c r="I61" s="219">
        <v>8628000</v>
      </c>
      <c r="K61" s="319">
        <f t="shared" si="0"/>
        <v>8628000</v>
      </c>
    </row>
    <row r="62" spans="1:11" ht="31" x14ac:dyDescent="0.35">
      <c r="A62" s="236"/>
      <c r="B62" s="219"/>
      <c r="H62" s="236" t="s">
        <v>213</v>
      </c>
      <c r="I62" s="219">
        <v>11200000</v>
      </c>
      <c r="K62" s="319">
        <f t="shared" si="0"/>
        <v>11200000</v>
      </c>
    </row>
    <row r="63" spans="1:11" ht="31" x14ac:dyDescent="0.35">
      <c r="A63" s="234" t="s">
        <v>272</v>
      </c>
      <c r="B63" s="227">
        <f>B64</f>
        <v>160302785</v>
      </c>
      <c r="H63" s="236"/>
      <c r="K63" s="319">
        <f t="shared" si="0"/>
        <v>0</v>
      </c>
    </row>
    <row r="64" spans="1:11" ht="46.5" x14ac:dyDescent="0.35">
      <c r="A64" s="235" t="s">
        <v>219</v>
      </c>
      <c r="B64" s="231">
        <f>SUM(B65:B69)</f>
        <v>160302785</v>
      </c>
      <c r="H64" s="235" t="s">
        <v>214</v>
      </c>
      <c r="K64" s="319">
        <f t="shared" si="0"/>
        <v>0</v>
      </c>
    </row>
    <row r="65" spans="1:11" ht="46.5" x14ac:dyDescent="0.35">
      <c r="A65" s="236" t="s">
        <v>312</v>
      </c>
      <c r="B65" s="219">
        <v>5908800</v>
      </c>
      <c r="H65" s="236" t="s">
        <v>215</v>
      </c>
      <c r="I65" s="219">
        <v>190490000</v>
      </c>
      <c r="K65" s="319">
        <f t="shared" si="0"/>
        <v>190490000</v>
      </c>
    </row>
    <row r="66" spans="1:11" ht="15.5" x14ac:dyDescent="0.35">
      <c r="A66" s="236" t="s">
        <v>220</v>
      </c>
      <c r="B66" s="219">
        <v>17650000</v>
      </c>
      <c r="H66" s="236"/>
      <c r="K66" s="319">
        <f t="shared" si="0"/>
        <v>0</v>
      </c>
    </row>
    <row r="67" spans="1:11" ht="31" x14ac:dyDescent="0.35">
      <c r="A67" s="236" t="s">
        <v>221</v>
      </c>
      <c r="B67" s="219">
        <v>115050000</v>
      </c>
      <c r="H67" s="234" t="s">
        <v>270</v>
      </c>
      <c r="K67" s="319">
        <f t="shared" si="0"/>
        <v>0</v>
      </c>
    </row>
    <row r="68" spans="1:11" ht="31" x14ac:dyDescent="0.35">
      <c r="A68" s="236" t="s">
        <v>313</v>
      </c>
      <c r="B68" s="219">
        <v>0</v>
      </c>
      <c r="H68" s="235" t="s">
        <v>253</v>
      </c>
      <c r="K68" s="319">
        <f t="shared" si="0"/>
        <v>0</v>
      </c>
    </row>
    <row r="69" spans="1:11" ht="77.5" x14ac:dyDescent="0.35">
      <c r="A69" s="236" t="s">
        <v>222</v>
      </c>
      <c r="B69" s="219">
        <v>21693985</v>
      </c>
      <c r="H69" s="236" t="s">
        <v>216</v>
      </c>
      <c r="I69">
        <v>21870000</v>
      </c>
      <c r="K69" s="319">
        <f t="shared" si="0"/>
        <v>21870000</v>
      </c>
    </row>
    <row r="70" spans="1:11" ht="46.5" x14ac:dyDescent="0.35">
      <c r="A70"/>
      <c r="B70" s="274"/>
      <c r="H70" s="236" t="s">
        <v>217</v>
      </c>
      <c r="K70" s="319">
        <f t="shared" si="0"/>
        <v>0</v>
      </c>
    </row>
    <row r="71" spans="1:11" ht="46.5" x14ac:dyDescent="0.35">
      <c r="A71" s="272"/>
      <c r="B71" s="278"/>
      <c r="H71" s="236" t="s">
        <v>218</v>
      </c>
      <c r="I71" s="219">
        <v>3600000</v>
      </c>
      <c r="K71" s="319">
        <f t="shared" si="0"/>
        <v>3600000</v>
      </c>
    </row>
    <row r="72" spans="1:11" ht="15.5" x14ac:dyDescent="0.35">
      <c r="A72" s="272"/>
      <c r="B72" s="278"/>
      <c r="H72" s="236"/>
      <c r="K72" s="319">
        <f t="shared" si="0"/>
        <v>0</v>
      </c>
    </row>
    <row r="73" spans="1:11" ht="31" x14ac:dyDescent="0.35">
      <c r="A73" s="272"/>
      <c r="B73" s="289"/>
      <c r="H73" s="234" t="s">
        <v>272</v>
      </c>
      <c r="K73" s="319">
        <f t="shared" si="0"/>
        <v>0</v>
      </c>
    </row>
    <row r="74" spans="1:11" ht="31" x14ac:dyDescent="0.35">
      <c r="A74" s="272"/>
      <c r="B74" s="289"/>
      <c r="H74" s="235" t="s">
        <v>219</v>
      </c>
      <c r="K74" s="319">
        <f t="shared" si="0"/>
        <v>0</v>
      </c>
    </row>
    <row r="75" spans="1:11" ht="31" x14ac:dyDescent="0.35">
      <c r="A75" s="272"/>
      <c r="B75" s="289"/>
      <c r="H75" s="236" t="s">
        <v>312</v>
      </c>
      <c r="I75" s="219">
        <v>5908800</v>
      </c>
      <c r="K75" s="319">
        <f t="shared" si="0"/>
        <v>5908800</v>
      </c>
    </row>
    <row r="76" spans="1:11" ht="15.5" x14ac:dyDescent="0.35">
      <c r="A76" s="272"/>
      <c r="B76" s="278"/>
      <c r="H76" s="236" t="s">
        <v>220</v>
      </c>
      <c r="I76" s="219">
        <v>17650000</v>
      </c>
      <c r="J76" s="219">
        <v>14989000</v>
      </c>
      <c r="K76" s="319">
        <f t="shared" si="0"/>
        <v>32639000</v>
      </c>
    </row>
    <row r="77" spans="1:11" ht="31" x14ac:dyDescent="0.35">
      <c r="A77" s="278"/>
      <c r="B77" s="287"/>
      <c r="H77" s="236" t="s">
        <v>221</v>
      </c>
      <c r="I77" s="88">
        <v>115050000</v>
      </c>
      <c r="K77" s="319">
        <f t="shared" ref="K77:K79" si="1">I77+J77</f>
        <v>115050000</v>
      </c>
    </row>
    <row r="78" spans="1:11" ht="15.5" x14ac:dyDescent="0.35">
      <c r="A78" s="284"/>
      <c r="B78" s="165"/>
      <c r="H78" s="236" t="s">
        <v>313</v>
      </c>
      <c r="I78" s="219">
        <v>0</v>
      </c>
      <c r="K78" s="319">
        <f t="shared" si="1"/>
        <v>0</v>
      </c>
    </row>
    <row r="79" spans="1:11" ht="31" x14ac:dyDescent="0.35">
      <c r="A79" s="164"/>
      <c r="H79" s="236" t="s">
        <v>222</v>
      </c>
      <c r="I79" s="88">
        <v>21693985</v>
      </c>
      <c r="K79" s="319">
        <f t="shared" si="1"/>
        <v>21693985</v>
      </c>
    </row>
    <row r="80" spans="1:11" ht="15.5" x14ac:dyDescent="0.35">
      <c r="H80" s="236"/>
      <c r="K80" s="319"/>
    </row>
    <row r="81" spans="8:11" x14ac:dyDescent="0.35">
      <c r="H81"/>
      <c r="I81" s="319">
        <f>SUM(I12:I80)</f>
        <v>4950552807</v>
      </c>
      <c r="J81" s="319">
        <f>SUM(J12:J80)</f>
        <v>1306446985</v>
      </c>
      <c r="K81" s="319">
        <f>I81+J81</f>
        <v>6256999792</v>
      </c>
    </row>
    <row r="82" spans="8:11" ht="15.5" x14ac:dyDescent="0.35">
      <c r="H82" s="272"/>
    </row>
    <row r="83" spans="8:11" ht="15.5" x14ac:dyDescent="0.35">
      <c r="H83" s="272"/>
    </row>
    <row r="84" spans="8:11" ht="15.5" x14ac:dyDescent="0.35">
      <c r="H84" s="272"/>
    </row>
    <row r="85" spans="8:11" ht="15.5" x14ac:dyDescent="0.35">
      <c r="H85" s="272"/>
    </row>
    <row r="86" spans="8:11" ht="15.5" x14ac:dyDescent="0.35">
      <c r="H86" s="272"/>
    </row>
    <row r="87" spans="8:11" ht="15.5" x14ac:dyDescent="0.35">
      <c r="H87" s="272"/>
    </row>
    <row r="88" spans="8:11" x14ac:dyDescent="0.35">
      <c r="H88" s="278"/>
    </row>
    <row r="89" spans="8:11" ht="15.5" x14ac:dyDescent="0.35">
      <c r="H89" s="284"/>
    </row>
    <row r="90" spans="8:11" ht="15.5" x14ac:dyDescent="0.35">
      <c r="H90" s="164"/>
    </row>
  </sheetData>
  <protectedRanges>
    <protectedRange sqref="I10:I11 I25:I29 I36 I32 I61:I62 I75:I76 I71 I14:I15 I78 I44 I48 I40 I19:I20" name="Range1"/>
    <protectedRange sqref="I65" name="Range1_1"/>
    <protectedRange sqref="J21" name="Range1_2_2"/>
    <protectedRange sqref="J48 F34:F35 J52:J53 F37 J56:J57 F40 J76 F43:F45" name="Range1_3_2"/>
    <protectedRange sqref="B10:B15 B18:B20 B22:B29 B50:B69 B37:B48 B32:B35" name="Range1_4"/>
    <protectedRange sqref="B21" name="Range1_2_3"/>
    <protectedRange sqref="B16" name="Range1_3_1_1"/>
  </protectedRange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4"/>
  <sheetViews>
    <sheetView view="pageBreakPreview" topLeftCell="B13" zoomScale="84" zoomScaleNormal="75" zoomScaleSheetLayoutView="84" workbookViewId="0">
      <selection activeCell="H22" sqref="H22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78" t="s">
        <v>148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87"/>
      <c r="P1" s="88">
        <v>1</v>
      </c>
      <c r="Q1" s="88" t="s">
        <v>183</v>
      </c>
    </row>
    <row r="2" spans="1:20" ht="33.5" x14ac:dyDescent="0.85">
      <c r="A2" s="381" t="s">
        <v>155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96" t="s">
        <v>156</v>
      </c>
      <c r="E5" s="95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84" t="s">
        <v>4</v>
      </c>
      <c r="B6" s="387" t="s">
        <v>5</v>
      </c>
      <c r="C6" s="387"/>
      <c r="D6" s="388"/>
      <c r="E6" s="393" t="s">
        <v>6</v>
      </c>
      <c r="F6" s="371" t="s">
        <v>7</v>
      </c>
      <c r="G6" s="371" t="s">
        <v>158</v>
      </c>
      <c r="H6" s="371" t="s">
        <v>9</v>
      </c>
      <c r="I6" s="374" t="s">
        <v>10</v>
      </c>
      <c r="J6" s="374"/>
      <c r="K6" s="374"/>
      <c r="L6" s="374"/>
      <c r="M6" s="371" t="s">
        <v>11</v>
      </c>
      <c r="N6" s="384" t="s">
        <v>12</v>
      </c>
      <c r="O6" s="98"/>
    </row>
    <row r="7" spans="1:20" ht="15.5" x14ac:dyDescent="0.35">
      <c r="A7" s="385"/>
      <c r="B7" s="389"/>
      <c r="C7" s="389"/>
      <c r="D7" s="390"/>
      <c r="E7" s="394"/>
      <c r="F7" s="372"/>
      <c r="G7" s="372"/>
      <c r="H7" s="372"/>
      <c r="I7" s="374" t="s">
        <v>13</v>
      </c>
      <c r="J7" s="374"/>
      <c r="K7" s="396" t="s">
        <v>14</v>
      </c>
      <c r="L7" s="396"/>
      <c r="M7" s="372"/>
      <c r="N7" s="385"/>
      <c r="O7" s="98"/>
    </row>
    <row r="8" spans="1:20" ht="15.5" x14ac:dyDescent="0.35">
      <c r="A8" s="386"/>
      <c r="B8" s="391"/>
      <c r="C8" s="391"/>
      <c r="D8" s="392"/>
      <c r="E8" s="395"/>
      <c r="F8" s="373"/>
      <c r="G8" s="373"/>
      <c r="H8" s="373"/>
      <c r="I8" s="99" t="s">
        <v>15</v>
      </c>
      <c r="J8" s="99" t="s">
        <v>16</v>
      </c>
      <c r="K8" s="99" t="s">
        <v>16</v>
      </c>
      <c r="L8" s="100" t="s">
        <v>17</v>
      </c>
      <c r="M8" s="373"/>
      <c r="N8" s="386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12.340742543392254</v>
      </c>
      <c r="L10" s="195">
        <f>SUM(L11:L21)</f>
        <v>3.0480819233135676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R11/E11*100</f>
        <v>25</v>
      </c>
      <c r="L11" s="207">
        <f>K11*H11/100</f>
        <v>2.3286974043714128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68" t="s">
        <v>24</v>
      </c>
      <c r="C12" s="369"/>
      <c r="D12" s="370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 t="shared" ref="K14:K15" si="8">R14/E14*100</f>
        <v>25</v>
      </c>
      <c r="L14" s="207">
        <f t="shared" ref="L14:L43" si="9">K14*H14/100</f>
        <v>4.093489651740282E-2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68" t="s">
        <v>30</v>
      </c>
      <c r="C15" s="369"/>
      <c r="D15" s="370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 t="shared" si="8"/>
        <v>25</v>
      </c>
      <c r="L15" s="207">
        <f t="shared" si="9"/>
        <v>3.2134738790773866E-2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9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9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10">R19/E19*100</f>
        <v>25</v>
      </c>
      <c r="L19" s="207">
        <f t="shared" si="9"/>
        <v>0.29754387769235058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10"/>
        <v>25</v>
      </c>
      <c r="L20" s="207">
        <f t="shared" si="9"/>
        <v>0.16067369395386932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68" t="s">
        <v>42</v>
      </c>
      <c r="C21" s="369"/>
      <c r="D21" s="370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9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75" t="s">
        <v>44</v>
      </c>
      <c r="C23" s="376"/>
      <c r="D23" s="377"/>
      <c r="E23" s="197">
        <f>SUM(E24:E29)</f>
        <v>186049400</v>
      </c>
      <c r="F23" s="184">
        <v>0</v>
      </c>
      <c r="G23" s="184">
        <v>0</v>
      </c>
      <c r="H23" s="185">
        <f t="shared" ref="H23:I23" si="11">SUM(H24:H29)</f>
        <v>8.8572575869336347</v>
      </c>
      <c r="I23" s="195">
        <f t="shared" si="11"/>
        <v>3400000</v>
      </c>
      <c r="J23" s="187"/>
      <c r="K23" s="195">
        <f>SUM(K24:K29)/6</f>
        <v>15.5</v>
      </c>
      <c r="L23" s="195">
        <f>SUM(L24:L29)</f>
        <v>1.0032036987295723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2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9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2"/>
        <v>2.481582589782807</v>
      </c>
      <c r="I25" s="115">
        <v>3400000</v>
      </c>
      <c r="J25" s="168">
        <f t="shared" si="7"/>
        <v>0.16186386946463871</v>
      </c>
      <c r="K25" s="178">
        <f>R25/E25*100</f>
        <v>25</v>
      </c>
      <c r="L25" s="207">
        <f t="shared" si="9"/>
        <v>0.62039564744570175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2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9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2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9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2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9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2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9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75" t="s">
        <v>60</v>
      </c>
      <c r="C31" s="376"/>
      <c r="D31" s="377"/>
      <c r="E31" s="197">
        <f t="shared" ref="E31:N31" si="13">SUM(E32)</f>
        <v>1000000</v>
      </c>
      <c r="F31" s="184">
        <v>0</v>
      </c>
      <c r="G31" s="184">
        <v>0</v>
      </c>
      <c r="H31" s="185">
        <f t="shared" si="13"/>
        <v>4.7607020430776095E-2</v>
      </c>
      <c r="I31" s="195">
        <f t="shared" si="13"/>
        <v>0</v>
      </c>
      <c r="J31" s="187">
        <f t="shared" si="7"/>
        <v>0</v>
      </c>
      <c r="K31" s="195">
        <f t="shared" si="13"/>
        <v>0</v>
      </c>
      <c r="L31" s="195">
        <f t="shared" si="13"/>
        <v>0</v>
      </c>
      <c r="M31" s="185">
        <f>SUM(M32)</f>
        <v>1000000</v>
      </c>
      <c r="N31" s="184">
        <f t="shared" si="13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68" t="s">
        <v>62</v>
      </c>
      <c r="C32" s="369"/>
      <c r="D32" s="370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9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75" t="s">
        <v>64</v>
      </c>
      <c r="C34" s="376"/>
      <c r="D34" s="377"/>
      <c r="E34" s="197">
        <f t="shared" ref="E34:N34" si="14">E35</f>
        <v>125734000</v>
      </c>
      <c r="F34" s="184">
        <v>0</v>
      </c>
      <c r="G34" s="184">
        <v>0</v>
      </c>
      <c r="H34" s="185">
        <f t="shared" si="14"/>
        <v>5.9858211068432015</v>
      </c>
      <c r="I34" s="195">
        <f t="shared" si="14"/>
        <v>12000000</v>
      </c>
      <c r="J34" s="187"/>
      <c r="K34" s="195">
        <f t="shared" si="14"/>
        <v>25</v>
      </c>
      <c r="L34" s="195">
        <f t="shared" si="14"/>
        <v>1.4964552767108004</v>
      </c>
      <c r="M34" s="185">
        <f t="shared" si="14"/>
        <v>113734000</v>
      </c>
      <c r="N34" s="184">
        <f t="shared" si="14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R35/E35*100</f>
        <v>25</v>
      </c>
      <c r="L35" s="207">
        <f t="shared" si="9"/>
        <v>1.4964552767108004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75" t="s">
        <v>70</v>
      </c>
      <c r="C37" s="376"/>
      <c r="D37" s="377"/>
      <c r="E37" s="197">
        <f>SUM(E38:E39)</f>
        <v>277264000</v>
      </c>
      <c r="F37" s="184">
        <v>0</v>
      </c>
      <c r="G37" s="184">
        <v>0</v>
      </c>
      <c r="H37" s="185">
        <f t="shared" ref="H37:M37" si="15">SUM(H38:H39)</f>
        <v>13.199712912718702</v>
      </c>
      <c r="I37" s="195">
        <f t="shared" si="15"/>
        <v>19200000</v>
      </c>
      <c r="J37" s="187"/>
      <c r="K37" s="195">
        <f>SUM(K38:K39)/2</f>
        <v>12.5</v>
      </c>
      <c r="L37" s="195">
        <f t="shared" si="15"/>
        <v>3.034947552461976</v>
      </c>
      <c r="M37" s="185">
        <f t="shared" si="15"/>
        <v>258064000</v>
      </c>
      <c r="N37" s="184">
        <f t="shared" ref="N37" si="16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68" t="s">
        <v>72</v>
      </c>
      <c r="C38" s="369"/>
      <c r="D38" s="370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R38/E38*100</f>
        <v>25</v>
      </c>
      <c r="L38" s="207">
        <f t="shared" si="9"/>
        <v>3.034947552461976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68" t="s">
        <v>74</v>
      </c>
      <c r="C39" s="369"/>
      <c r="D39" s="370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9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7">SUM(H42:H43)</f>
        <v>3.8768777087802517</v>
      </c>
      <c r="I41" s="195">
        <f t="shared" si="17"/>
        <v>0</v>
      </c>
      <c r="J41" s="187">
        <f t="shared" si="7"/>
        <v>0</v>
      </c>
      <c r="K41" s="195">
        <f>SUM(K42:K43)/2</f>
        <v>37.5</v>
      </c>
      <c r="L41" s="195">
        <f t="shared" si="17"/>
        <v>1.3906605755585084</v>
      </c>
      <c r="M41" s="185">
        <f t="shared" si="17"/>
        <v>81435000</v>
      </c>
      <c r="N41" s="184">
        <f t="shared" ref="N41" si="18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9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9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75" t="s">
        <v>86</v>
      </c>
      <c r="C45" s="376"/>
      <c r="D45" s="377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19">SUM(H46:H50)</f>
        <v>7.7309921207415275</v>
      </c>
      <c r="I45" s="195">
        <f t="shared" si="19"/>
        <v>3600000</v>
      </c>
      <c r="J45" s="187">
        <f t="shared" si="7"/>
        <v>0.17138527355079394</v>
      </c>
      <c r="K45" s="195">
        <f>SUM(K46:K50)/5</f>
        <v>19</v>
      </c>
      <c r="L45" s="195">
        <f t="shared" si="19"/>
        <v>1.7298264380906287</v>
      </c>
      <c r="M45" s="185">
        <f t="shared" si="19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:L49" si="20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si="20"/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>R48/E48*100</f>
        <v>25</v>
      </c>
      <c r="L48" s="207">
        <f>K48*H48/100</f>
        <v>0.30111440422465879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68" t="s">
        <v>94</v>
      </c>
      <c r="C49" s="369"/>
      <c r="D49" s="370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0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>R50/E50*100</f>
        <v>25</v>
      </c>
      <c r="L50" s="207">
        <f>K50*H50/100</f>
        <v>0.82783847827076551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1">SUM(H53:H54)</f>
        <v>0.95214040861552185</v>
      </c>
      <c r="I52" s="195">
        <f t="shared" si="21"/>
        <v>0</v>
      </c>
      <c r="J52" s="187">
        <f t="shared" si="7"/>
        <v>0</v>
      </c>
      <c r="K52" s="195">
        <f>SUM(K53:K54)/2</f>
        <v>0</v>
      </c>
      <c r="L52" s="195">
        <f t="shared" si="21"/>
        <v>0</v>
      </c>
      <c r="M52" s="185">
        <f t="shared" si="21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2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2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75" t="s">
        <v>104</v>
      </c>
      <c r="C56" s="376"/>
      <c r="D56" s="377"/>
      <c r="E56" s="199">
        <f t="shared" ref="E56:N56" si="23">SUM(E57)</f>
        <v>61200000</v>
      </c>
      <c r="F56" s="192">
        <f t="shared" si="23"/>
        <v>0</v>
      </c>
      <c r="G56" s="192">
        <f t="shared" si="23"/>
        <v>0</v>
      </c>
      <c r="H56" s="193">
        <f t="shared" si="23"/>
        <v>2.913549650363497</v>
      </c>
      <c r="I56" s="205">
        <f t="shared" si="23"/>
        <v>1800000</v>
      </c>
      <c r="J56" s="187"/>
      <c r="K56" s="205">
        <f t="shared" si="23"/>
        <v>8.5692636775396971E-2</v>
      </c>
      <c r="L56" s="205">
        <f t="shared" si="23"/>
        <v>2.4966975191568399E-3</v>
      </c>
      <c r="M56" s="193">
        <f t="shared" si="23"/>
        <v>59400000</v>
      </c>
      <c r="N56" s="192">
        <f t="shared" si="23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24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75" t="s">
        <v>116</v>
      </c>
      <c r="C59" s="376"/>
      <c r="D59" s="377"/>
      <c r="E59" s="197">
        <f t="shared" ref="E59:N59" si="25">E60</f>
        <v>151914500</v>
      </c>
      <c r="F59" s="184">
        <f t="shared" si="25"/>
        <v>0</v>
      </c>
      <c r="G59" s="184">
        <f t="shared" si="25"/>
        <v>0</v>
      </c>
      <c r="H59" s="185">
        <f t="shared" si="25"/>
        <v>7.2321967052311349</v>
      </c>
      <c r="I59" s="195">
        <f t="shared" si="25"/>
        <v>0</v>
      </c>
      <c r="J59" s="187">
        <f t="shared" si="7"/>
        <v>0</v>
      </c>
      <c r="K59" s="195">
        <f t="shared" si="25"/>
        <v>25</v>
      </c>
      <c r="L59" s="195">
        <f t="shared" si="25"/>
        <v>1.8080491763077837</v>
      </c>
      <c r="M59" s="185">
        <f t="shared" si="25"/>
        <v>151914500</v>
      </c>
      <c r="N59" s="184">
        <f t="shared" si="25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68" t="s">
        <v>118</v>
      </c>
      <c r="C60" s="369"/>
      <c r="D60" s="370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R60/E60*100</f>
        <v>25</v>
      </c>
      <c r="L60" s="207">
        <f t="shared" ref="L60" si="26">K60*H60/100</f>
        <v>1.8080491763077837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75" t="s">
        <v>124</v>
      </c>
      <c r="C62" s="376"/>
      <c r="D62" s="377"/>
      <c r="E62" s="197">
        <f t="shared" ref="E62:N62" si="27">E63</f>
        <v>5671000</v>
      </c>
      <c r="F62" s="184">
        <f t="shared" si="27"/>
        <v>0</v>
      </c>
      <c r="G62" s="184">
        <f t="shared" si="27"/>
        <v>0</v>
      </c>
      <c r="H62" s="185">
        <f t="shared" si="27"/>
        <v>0.2699794128629312</v>
      </c>
      <c r="I62" s="195">
        <f t="shared" si="27"/>
        <v>0</v>
      </c>
      <c r="J62" s="187">
        <f t="shared" si="7"/>
        <v>0</v>
      </c>
      <c r="K62" s="195">
        <f t="shared" si="27"/>
        <v>0</v>
      </c>
      <c r="L62" s="195">
        <f t="shared" si="27"/>
        <v>0</v>
      </c>
      <c r="M62" s="185">
        <f t="shared" si="27"/>
        <v>5671000</v>
      </c>
      <c r="N62" s="184">
        <f t="shared" si="27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68" t="s">
        <v>126</v>
      </c>
      <c r="C63" s="369"/>
      <c r="D63" s="370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28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75" t="s">
        <v>128</v>
      </c>
      <c r="C65" s="376"/>
      <c r="D65" s="377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29">SUM(H66:H71)</f>
        <v>13.205949432395135</v>
      </c>
      <c r="I65" s="195">
        <f t="shared" si="29"/>
        <v>15300000</v>
      </c>
      <c r="J65" s="187"/>
      <c r="K65" s="195">
        <f>SUM(K66:K71)/6</f>
        <v>15.833333333333334</v>
      </c>
      <c r="L65" s="195">
        <f t="shared" si="29"/>
        <v>3.6692515909265291</v>
      </c>
      <c r="M65" s="185">
        <f t="shared" si="29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0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1" si="31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0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1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0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1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0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1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0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1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0"/>
        <v>1.633396870979928</v>
      </c>
      <c r="I71" s="115">
        <v>0</v>
      </c>
      <c r="J71" s="168">
        <f t="shared" si="7"/>
        <v>0</v>
      </c>
      <c r="K71" s="178">
        <f>R71/E71*100</f>
        <v>25</v>
      </c>
      <c r="L71" s="207">
        <f t="shared" si="31"/>
        <v>0.40834921774498201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75" t="s">
        <v>142</v>
      </c>
      <c r="C73" s="376"/>
      <c r="D73" s="377"/>
      <c r="E73" s="197">
        <f t="shared" ref="E73:N73" si="32">E74</f>
        <v>57479800</v>
      </c>
      <c r="F73" s="184">
        <f t="shared" si="32"/>
        <v>0</v>
      </c>
      <c r="G73" s="184">
        <f t="shared" si="32"/>
        <v>0</v>
      </c>
      <c r="H73" s="185">
        <f t="shared" si="32"/>
        <v>2.7364420129569238</v>
      </c>
      <c r="I73" s="197">
        <f t="shared" si="32"/>
        <v>0</v>
      </c>
      <c r="J73" s="187">
        <f t="shared" si="7"/>
        <v>0</v>
      </c>
      <c r="K73" s="195">
        <f t="shared" si="32"/>
        <v>25</v>
      </c>
      <c r="L73" s="195">
        <f t="shared" si="32"/>
        <v>0.68411050323923095</v>
      </c>
      <c r="M73" s="184">
        <f t="shared" si="32"/>
        <v>57479800</v>
      </c>
      <c r="N73" s="184">
        <f t="shared" si="32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R74/E74*100</f>
        <v>25</v>
      </c>
      <c r="L74" s="209">
        <f t="shared" ref="L74" si="33">K74*H74/100</f>
        <v>0.68411050323923095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75" t="s">
        <v>166</v>
      </c>
      <c r="C76" s="376"/>
      <c r="D76" s="377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34">H77</f>
        <v>1.6769572946740881</v>
      </c>
      <c r="I76" s="197">
        <f t="shared" si="34"/>
        <v>0</v>
      </c>
      <c r="J76" s="187">
        <f t="shared" si="7"/>
        <v>0</v>
      </c>
      <c r="K76" s="195">
        <f t="shared" si="34"/>
        <v>0</v>
      </c>
      <c r="L76" s="195">
        <f t="shared" si="34"/>
        <v>0</v>
      </c>
      <c r="M76" s="184">
        <f t="shared" si="34"/>
        <v>35225000</v>
      </c>
      <c r="N76" s="184">
        <f>SUM(N77:N84)</f>
        <v>0</v>
      </c>
      <c r="O76" s="118"/>
      <c r="P76" s="88">
        <f t="shared" ref="P76:P123" si="35">E76/12</f>
        <v>2935416.6666666665</v>
      </c>
      <c r="Q76" s="88">
        <f t="shared" ref="Q76:Q123" si="36">P76*2</f>
        <v>5870833.333333333</v>
      </c>
      <c r="R76" s="88">
        <f t="shared" ref="R76:R92" si="37">P76*3</f>
        <v>8806250</v>
      </c>
      <c r="S76" s="88">
        <f t="shared" ref="S76:S92" si="38">P76*4</f>
        <v>11741666.666666666</v>
      </c>
      <c r="T76" s="88">
        <f t="shared" ref="T76:T92" si="39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0">I77/$E$86*100</f>
        <v>0</v>
      </c>
      <c r="K77" s="178">
        <v>0</v>
      </c>
      <c r="L77" s="207">
        <f t="shared" ref="L77:L80" si="41">K77*H77/100</f>
        <v>0</v>
      </c>
      <c r="M77" s="116">
        <f t="shared" ref="M77:M83" si="42">E77-I77</f>
        <v>35225000</v>
      </c>
      <c r="N77" s="114"/>
      <c r="O77" s="118"/>
      <c r="P77" s="88">
        <f t="shared" si="35"/>
        <v>2935416.6666666665</v>
      </c>
      <c r="Q77" s="88">
        <f t="shared" si="36"/>
        <v>5870833.333333333</v>
      </c>
      <c r="R77" s="88">
        <f t="shared" si="37"/>
        <v>8806250</v>
      </c>
      <c r="S77" s="88">
        <f t="shared" si="38"/>
        <v>11741666.666666666</v>
      </c>
      <c r="T77" s="88">
        <f t="shared" si="39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0"/>
        <v>0</v>
      </c>
      <c r="K78" s="178"/>
      <c r="L78" s="207"/>
      <c r="M78" s="116">
        <f t="shared" si="42"/>
        <v>0</v>
      </c>
      <c r="N78" s="114"/>
      <c r="O78" s="118"/>
      <c r="P78" s="88">
        <f t="shared" si="35"/>
        <v>0</v>
      </c>
      <c r="Q78" s="88">
        <f t="shared" si="36"/>
        <v>0</v>
      </c>
      <c r="R78" s="88">
        <f t="shared" si="37"/>
        <v>0</v>
      </c>
      <c r="S78" s="88">
        <f t="shared" si="38"/>
        <v>0</v>
      </c>
      <c r="T78" s="88">
        <f t="shared" si="39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43">H80</f>
        <v>1.2377825312001784</v>
      </c>
      <c r="I79" s="195">
        <f t="shared" si="43"/>
        <v>0</v>
      </c>
      <c r="J79" s="187">
        <f t="shared" si="40"/>
        <v>0</v>
      </c>
      <c r="K79" s="195">
        <f t="shared" si="43"/>
        <v>0</v>
      </c>
      <c r="L79" s="195">
        <f t="shared" si="43"/>
        <v>0</v>
      </c>
      <c r="M79" s="185">
        <f t="shared" si="43"/>
        <v>26000000</v>
      </c>
      <c r="N79" s="185">
        <f t="shared" si="43"/>
        <v>0</v>
      </c>
      <c r="O79" s="118"/>
      <c r="P79" s="88">
        <f t="shared" si="35"/>
        <v>2166666.6666666665</v>
      </c>
      <c r="Q79" s="88">
        <f t="shared" si="36"/>
        <v>4333333.333333333</v>
      </c>
      <c r="R79" s="88">
        <f t="shared" si="37"/>
        <v>6500000</v>
      </c>
      <c r="S79" s="88">
        <f t="shared" si="38"/>
        <v>8666666.666666666</v>
      </c>
      <c r="T79" s="88">
        <f t="shared" si="39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0"/>
        <v>0</v>
      </c>
      <c r="K80" s="178">
        <v>0</v>
      </c>
      <c r="L80" s="207">
        <f t="shared" si="41"/>
        <v>0</v>
      </c>
      <c r="M80" s="116">
        <f t="shared" si="42"/>
        <v>26000000</v>
      </c>
      <c r="N80" s="114"/>
      <c r="O80" s="118"/>
      <c r="P80" s="88">
        <f t="shared" si="35"/>
        <v>2166666.6666666665</v>
      </c>
      <c r="Q80" s="88">
        <f t="shared" si="36"/>
        <v>4333333.333333333</v>
      </c>
      <c r="R80" s="88">
        <f t="shared" si="37"/>
        <v>6500000</v>
      </c>
      <c r="S80" s="88">
        <f t="shared" si="38"/>
        <v>8666666.666666666</v>
      </c>
      <c r="T80" s="88">
        <f t="shared" si="39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0"/>
        <v>0</v>
      </c>
      <c r="K81" s="178"/>
      <c r="L81" s="207"/>
      <c r="M81" s="116">
        <f t="shared" si="42"/>
        <v>0</v>
      </c>
      <c r="N81" s="114"/>
      <c r="O81" s="118"/>
      <c r="P81" s="88">
        <f t="shared" si="35"/>
        <v>0</v>
      </c>
      <c r="Q81" s="88">
        <f t="shared" si="36"/>
        <v>0</v>
      </c>
      <c r="R81" s="88">
        <f t="shared" si="37"/>
        <v>0</v>
      </c>
      <c r="S81" s="88">
        <f t="shared" si="38"/>
        <v>0</v>
      </c>
      <c r="T81" s="88">
        <f t="shared" si="39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44">H83</f>
        <v>1.1202030929964111</v>
      </c>
      <c r="I82" s="195">
        <f t="shared" si="44"/>
        <v>0</v>
      </c>
      <c r="J82" s="187">
        <f t="shared" si="40"/>
        <v>0</v>
      </c>
      <c r="K82" s="195">
        <f t="shared" si="44"/>
        <v>15</v>
      </c>
      <c r="L82" s="195">
        <f t="shared" si="44"/>
        <v>0.16803046394946164</v>
      </c>
      <c r="M82" s="185">
        <f t="shared" si="44"/>
        <v>23530208</v>
      </c>
      <c r="N82" s="188"/>
      <c r="O82" s="118"/>
      <c r="P82" s="88">
        <f t="shared" si="35"/>
        <v>1960850.6666666667</v>
      </c>
      <c r="Q82" s="88">
        <f t="shared" si="36"/>
        <v>3921701.3333333335</v>
      </c>
      <c r="R82" s="88">
        <f t="shared" si="37"/>
        <v>5882552</v>
      </c>
      <c r="S82" s="88">
        <f t="shared" si="38"/>
        <v>7843402.666666667</v>
      </c>
      <c r="T82" s="88">
        <f t="shared" si="39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0"/>
        <v>0</v>
      </c>
      <c r="K83" s="178">
        <v>15</v>
      </c>
      <c r="L83" s="207">
        <f>K83*H83/100</f>
        <v>0.16803046394946164</v>
      </c>
      <c r="M83" s="116">
        <f t="shared" si="42"/>
        <v>23530208</v>
      </c>
      <c r="N83" s="114"/>
      <c r="O83" s="118"/>
      <c r="P83" s="88">
        <f t="shared" si="35"/>
        <v>1960850.6666666667</v>
      </c>
      <c r="Q83" s="88">
        <f t="shared" si="36"/>
        <v>3921701.3333333335</v>
      </c>
      <c r="R83" s="88">
        <f t="shared" si="37"/>
        <v>5882552</v>
      </c>
      <c r="S83" s="88">
        <f t="shared" si="38"/>
        <v>7843402.666666667</v>
      </c>
      <c r="T83" s="88">
        <f t="shared" si="39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35"/>
        <v>0</v>
      </c>
      <c r="Q84" s="88">
        <f t="shared" si="36"/>
        <v>0</v>
      </c>
      <c r="R84" s="88">
        <f t="shared" si="37"/>
        <v>0</v>
      </c>
      <c r="S84" s="88">
        <f t="shared" si="38"/>
        <v>0</v>
      </c>
      <c r="T84" s="88">
        <f t="shared" si="39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202.75976851350097</v>
      </c>
      <c r="L85" s="148"/>
      <c r="M85" s="146"/>
      <c r="N85" s="147"/>
      <c r="O85" s="118"/>
      <c r="P85" s="88">
        <f t="shared" si="35"/>
        <v>0</v>
      </c>
      <c r="Q85" s="88">
        <f t="shared" si="36"/>
        <v>0</v>
      </c>
      <c r="R85" s="88">
        <f t="shared" si="37"/>
        <v>0</v>
      </c>
      <c r="S85" s="88">
        <f t="shared" si="38"/>
        <v>0</v>
      </c>
      <c r="T85" s="88">
        <f t="shared" si="39"/>
        <v>0</v>
      </c>
    </row>
    <row r="86" spans="1:20" ht="15.5" x14ac:dyDescent="0.35">
      <c r="A86" s="397" t="s">
        <v>145</v>
      </c>
      <c r="B86" s="398"/>
      <c r="C86" s="398"/>
      <c r="D86" s="399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12.672485532093811</v>
      </c>
      <c r="L86" s="172">
        <f>L10+L23+L31+L34+L37+L41+L45+L52+L56+L59+L62+L65+L73+L76+L79+L82</f>
        <v>18.035113896807211</v>
      </c>
      <c r="M86" s="149">
        <f>M10+M23+M31+M34+M37+M41+M45+M52+M56+M59+M62+M65+M73+M76+M79+M82</f>
        <v>2032930533</v>
      </c>
      <c r="N86" s="149"/>
      <c r="O86" s="150"/>
      <c r="P86" s="88">
        <f t="shared" si="35"/>
        <v>175044211.08333334</v>
      </c>
      <c r="Q86" s="88">
        <f t="shared" si="36"/>
        <v>350088422.16666669</v>
      </c>
      <c r="R86" s="88">
        <f t="shared" si="37"/>
        <v>525132633.25</v>
      </c>
      <c r="S86" s="88">
        <f t="shared" si="38"/>
        <v>700176844.33333337</v>
      </c>
      <c r="T86" s="88">
        <f t="shared" si="39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35"/>
        <v>0</v>
      </c>
      <c r="Q87" s="88">
        <f t="shared" si="36"/>
        <v>0</v>
      </c>
      <c r="R87" s="88">
        <f t="shared" si="37"/>
        <v>0</v>
      </c>
      <c r="S87" s="88">
        <f t="shared" si="38"/>
        <v>0</v>
      </c>
      <c r="T87" s="88">
        <f t="shared" si="39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403" t="s">
        <v>176</v>
      </c>
      <c r="K88" s="403"/>
      <c r="L88" s="403"/>
      <c r="M88" s="154"/>
      <c r="N88" s="155"/>
      <c r="O88" s="106"/>
      <c r="P88" s="88">
        <f t="shared" si="35"/>
        <v>644897173.08916664</v>
      </c>
      <c r="Q88" s="88">
        <f t="shared" si="36"/>
        <v>1289794346.1783333</v>
      </c>
      <c r="R88" s="88">
        <f t="shared" si="37"/>
        <v>1934691519.2674999</v>
      </c>
      <c r="S88" s="88">
        <f t="shared" si="38"/>
        <v>2579588692.3566666</v>
      </c>
      <c r="T88" s="88">
        <f t="shared" si="39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403" t="s">
        <v>177</v>
      </c>
      <c r="K89" s="403"/>
      <c r="L89" s="403"/>
      <c r="M89" s="154"/>
      <c r="N89" s="155"/>
      <c r="O89" s="106"/>
      <c r="P89" s="88">
        <f t="shared" si="35"/>
        <v>0</v>
      </c>
      <c r="Q89" s="88">
        <f t="shared" si="36"/>
        <v>0</v>
      </c>
      <c r="R89" s="88">
        <f t="shared" si="37"/>
        <v>0</v>
      </c>
      <c r="S89" s="88">
        <f t="shared" si="38"/>
        <v>0</v>
      </c>
      <c r="T89" s="88">
        <f t="shared" si="39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157"/>
      <c r="K90" s="157"/>
      <c r="L90" s="157"/>
      <c r="M90" s="154"/>
      <c r="N90" s="155"/>
      <c r="O90" s="106"/>
      <c r="P90" s="88">
        <f t="shared" si="35"/>
        <v>0</v>
      </c>
      <c r="Q90" s="88">
        <f t="shared" si="36"/>
        <v>0</v>
      </c>
      <c r="R90" s="88">
        <f t="shared" si="37"/>
        <v>0</v>
      </c>
      <c r="S90" s="88">
        <f t="shared" si="38"/>
        <v>0</v>
      </c>
      <c r="T90" s="88">
        <f t="shared" si="39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157"/>
      <c r="K91" s="157"/>
      <c r="L91" s="157"/>
      <c r="M91" s="154"/>
      <c r="N91" s="155"/>
      <c r="O91" s="106"/>
      <c r="P91" s="88">
        <f t="shared" si="35"/>
        <v>0</v>
      </c>
      <c r="Q91" s="88">
        <f t="shared" si="36"/>
        <v>0</v>
      </c>
      <c r="R91" s="88">
        <f t="shared" si="37"/>
        <v>0</v>
      </c>
      <c r="S91" s="88">
        <f t="shared" si="38"/>
        <v>0</v>
      </c>
      <c r="T91" s="88">
        <f t="shared" si="39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154"/>
      <c r="K92" s="157"/>
      <c r="L92" s="154"/>
      <c r="M92" s="154"/>
      <c r="N92" s="155"/>
      <c r="O92" s="106"/>
      <c r="P92" s="88">
        <f t="shared" si="35"/>
        <v>0</v>
      </c>
      <c r="Q92" s="88">
        <f t="shared" si="36"/>
        <v>0</v>
      </c>
      <c r="R92" s="88">
        <f t="shared" si="37"/>
        <v>0</v>
      </c>
      <c r="S92" s="88">
        <f t="shared" si="38"/>
        <v>0</v>
      </c>
      <c r="T92" s="88">
        <f t="shared" si="39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404" t="s">
        <v>178</v>
      </c>
      <c r="K93" s="404"/>
      <c r="L93" s="404"/>
      <c r="M93" s="154"/>
      <c r="N93" s="155"/>
      <c r="O93" s="106"/>
      <c r="P93" s="88">
        <f t="shared" si="35"/>
        <v>0</v>
      </c>
      <c r="Q93" s="88">
        <f t="shared" si="36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405" t="s">
        <v>179</v>
      </c>
      <c r="K94" s="405"/>
      <c r="L94" s="405"/>
      <c r="M94" s="162"/>
      <c r="N94" s="163"/>
      <c r="O94" s="106"/>
      <c r="P94" s="88">
        <f t="shared" si="35"/>
        <v>0</v>
      </c>
      <c r="Q94" s="88">
        <f t="shared" si="36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35"/>
        <v>0</v>
      </c>
      <c r="Q95" s="88">
        <f t="shared" si="36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35"/>
        <v>0</v>
      </c>
      <c r="Q96" s="88">
        <f t="shared" si="36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35"/>
        <v>0</v>
      </c>
      <c r="Q97" s="88">
        <f t="shared" si="36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35"/>
        <v>0</v>
      </c>
      <c r="Q98" s="88">
        <f t="shared" si="36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35"/>
        <v>0</v>
      </c>
      <c r="Q99" s="88">
        <f t="shared" si="36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35"/>
        <v>0</v>
      </c>
      <c r="Q100" s="88">
        <f t="shared" si="36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35"/>
        <v>0</v>
      </c>
      <c r="Q101" s="88">
        <f t="shared" si="36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35"/>
        <v>0</v>
      </c>
      <c r="Q102" s="88">
        <f t="shared" si="36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35"/>
        <v>0</v>
      </c>
      <c r="Q103" s="88">
        <f t="shared" si="36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35"/>
        <v>0</v>
      </c>
      <c r="Q104" s="88">
        <f t="shared" si="36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35"/>
        <v>16305000</v>
      </c>
      <c r="Q105" s="88">
        <f t="shared" si="36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35"/>
        <v>128333.33333333333</v>
      </c>
      <c r="Q106" s="88">
        <f t="shared" si="36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35"/>
        <v>1666666.6666666667</v>
      </c>
      <c r="Q107" s="88">
        <f t="shared" si="36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35"/>
        <v>5833333.333333333</v>
      </c>
      <c r="Q108" s="88">
        <f t="shared" si="36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35"/>
        <v>20650114.583333332</v>
      </c>
      <c r="Q109" s="88">
        <f t="shared" si="36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35"/>
        <v>286616.66666666669</v>
      </c>
      <c r="Q110" s="88">
        <f t="shared" si="36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35"/>
        <v>2083333.3333333333</v>
      </c>
      <c r="Q111" s="88">
        <f t="shared" si="36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35"/>
        <v>1125000</v>
      </c>
      <c r="Q112" s="88">
        <f t="shared" si="36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35"/>
        <v>333333.33333333331</v>
      </c>
      <c r="Q113" s="88">
        <f t="shared" si="36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35"/>
        <v>2050000</v>
      </c>
      <c r="Q114" s="88">
        <f t="shared" si="36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35"/>
        <v>225000</v>
      </c>
      <c r="Q115" s="88">
        <f t="shared" si="36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35"/>
        <v>0</v>
      </c>
      <c r="Q116" s="88">
        <f t="shared" si="36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35"/>
        <v>6807500</v>
      </c>
      <c r="Q117" s="88">
        <f t="shared" si="36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35"/>
        <v>4343866.666666667</v>
      </c>
      <c r="Q118" s="88">
        <f t="shared" si="36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35"/>
        <v>2429833.3333333335</v>
      </c>
      <c r="Q119" s="88">
        <f t="shared" si="36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35"/>
        <v>985416.66666666663</v>
      </c>
      <c r="Q120" s="88">
        <f t="shared" si="36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35"/>
        <v>337500</v>
      </c>
      <c r="Q121" s="88">
        <f t="shared" si="36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35"/>
        <v>600000</v>
      </c>
      <c r="Q122" s="88">
        <f t="shared" si="36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35"/>
        <v>0</v>
      </c>
      <c r="Q123" s="88">
        <f t="shared" si="36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J88:L88"/>
    <mergeCell ref="J89:L89"/>
    <mergeCell ref="J93:L93"/>
    <mergeCell ref="J94:L94"/>
    <mergeCell ref="B62:D62"/>
    <mergeCell ref="B63:D63"/>
    <mergeCell ref="B65:D65"/>
    <mergeCell ref="B73:D73"/>
    <mergeCell ref="B76:D76"/>
    <mergeCell ref="A86:D86"/>
    <mergeCell ref="B60:D60"/>
    <mergeCell ref="B23:D23"/>
    <mergeCell ref="B31:D31"/>
    <mergeCell ref="B32:D32"/>
    <mergeCell ref="B34:D34"/>
    <mergeCell ref="B37:D37"/>
    <mergeCell ref="B38:D38"/>
    <mergeCell ref="B39:D39"/>
    <mergeCell ref="B45:D45"/>
    <mergeCell ref="B49:D49"/>
    <mergeCell ref="B56:D56"/>
    <mergeCell ref="B59:D59"/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4"/>
  <sheetViews>
    <sheetView view="pageBreakPreview" topLeftCell="A76" zoomScale="86" zoomScaleNormal="75" zoomScaleSheetLayoutView="86" workbookViewId="0">
      <selection activeCell="A86" sqref="A86:D86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78" t="s">
        <v>148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  <c r="O1" s="87"/>
      <c r="P1" s="88">
        <v>1</v>
      </c>
      <c r="Q1" s="88" t="s">
        <v>183</v>
      </c>
    </row>
    <row r="2" spans="1:20" ht="33.5" x14ac:dyDescent="0.85">
      <c r="A2" s="381" t="s">
        <v>155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96" t="s">
        <v>156</v>
      </c>
      <c r="E5" s="95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84" t="s">
        <v>4</v>
      </c>
      <c r="B6" s="387" t="s">
        <v>5</v>
      </c>
      <c r="C6" s="387"/>
      <c r="D6" s="388"/>
      <c r="E6" s="393" t="s">
        <v>6</v>
      </c>
      <c r="F6" s="371" t="s">
        <v>7</v>
      </c>
      <c r="G6" s="371" t="s">
        <v>158</v>
      </c>
      <c r="H6" s="371" t="s">
        <v>9</v>
      </c>
      <c r="I6" s="374" t="s">
        <v>10</v>
      </c>
      <c r="J6" s="374"/>
      <c r="K6" s="374"/>
      <c r="L6" s="374"/>
      <c r="M6" s="371" t="s">
        <v>11</v>
      </c>
      <c r="N6" s="384" t="s">
        <v>12</v>
      </c>
      <c r="O6" s="98"/>
    </row>
    <row r="7" spans="1:20" ht="15.5" x14ac:dyDescent="0.35">
      <c r="A7" s="385"/>
      <c r="B7" s="389"/>
      <c r="C7" s="389"/>
      <c r="D7" s="390"/>
      <c r="E7" s="394"/>
      <c r="F7" s="372"/>
      <c r="G7" s="372"/>
      <c r="H7" s="372"/>
      <c r="I7" s="374" t="s">
        <v>13</v>
      </c>
      <c r="J7" s="374"/>
      <c r="K7" s="396" t="s">
        <v>14</v>
      </c>
      <c r="L7" s="396"/>
      <c r="M7" s="372"/>
      <c r="N7" s="385"/>
      <c r="O7" s="98"/>
    </row>
    <row r="8" spans="1:20" ht="15.5" x14ac:dyDescent="0.35">
      <c r="A8" s="386"/>
      <c r="B8" s="391"/>
      <c r="C8" s="391"/>
      <c r="D8" s="392"/>
      <c r="E8" s="395"/>
      <c r="F8" s="373"/>
      <c r="G8" s="373"/>
      <c r="H8" s="373"/>
      <c r="I8" s="99" t="s">
        <v>15</v>
      </c>
      <c r="J8" s="99" t="s">
        <v>16</v>
      </c>
      <c r="K8" s="99" t="s">
        <v>16</v>
      </c>
      <c r="L8" s="100" t="s">
        <v>17</v>
      </c>
      <c r="M8" s="373"/>
      <c r="N8" s="386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8.5528637555134654</v>
      </c>
      <c r="L10" s="195">
        <f>SUM(L11:L21)</f>
        <v>2.0947537195382977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Q11/E11*100</f>
        <v>16.666666666666664</v>
      </c>
      <c r="L11" s="207">
        <f>K11*H11/100</f>
        <v>1.5524649362476084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68" t="s">
        <v>24</v>
      </c>
      <c r="C12" s="369"/>
      <c r="D12" s="370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>Q14/E14*100</f>
        <v>16.666666666666668</v>
      </c>
      <c r="L14" s="207">
        <f t="shared" ref="L14:L43" si="8">K14*H14/100</f>
        <v>2.7289931011601883E-2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68" t="s">
        <v>30</v>
      </c>
      <c r="C15" s="369"/>
      <c r="D15" s="370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>Q15/E15*100</f>
        <v>16.666666666666664</v>
      </c>
      <c r="L15" s="207">
        <f t="shared" si="8"/>
        <v>2.1423159193849243E-2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8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8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9">Q19/E19*100</f>
        <v>16.666666666666664</v>
      </c>
      <c r="L19" s="207">
        <f t="shared" si="8"/>
        <v>0.19836258512823371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9"/>
        <v>16.666666666666664</v>
      </c>
      <c r="L20" s="207">
        <f t="shared" si="8"/>
        <v>0.1071157959692462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68" t="s">
        <v>42</v>
      </c>
      <c r="C21" s="369"/>
      <c r="D21" s="370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8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75" t="s">
        <v>44</v>
      </c>
      <c r="C23" s="376"/>
      <c r="D23" s="377"/>
      <c r="E23" s="197">
        <f>SUM(E24:E29)</f>
        <v>186049400</v>
      </c>
      <c r="F23" s="184">
        <v>0</v>
      </c>
      <c r="G23" s="184">
        <v>0</v>
      </c>
      <c r="H23" s="185">
        <f t="shared" ref="H23:I23" si="10">SUM(H24:H29)</f>
        <v>8.8572575869336347</v>
      </c>
      <c r="I23" s="195">
        <f t="shared" si="10"/>
        <v>3400000</v>
      </c>
      <c r="J23" s="187"/>
      <c r="K23" s="195">
        <f>SUM(K24:K29)/6</f>
        <v>14.111111111111112</v>
      </c>
      <c r="L23" s="195">
        <f>SUM(L24:L29)</f>
        <v>0.79640514958100517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1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8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1"/>
        <v>2.481582589782807</v>
      </c>
      <c r="I25" s="115">
        <v>3400000</v>
      </c>
      <c r="J25" s="168">
        <f t="shared" si="7"/>
        <v>0.16186386946463871</v>
      </c>
      <c r="K25" s="178">
        <f t="shared" ref="K25" si="12">Q25/E25*100</f>
        <v>16.666666666666668</v>
      </c>
      <c r="L25" s="207">
        <f t="shared" si="8"/>
        <v>0.41359709829713454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1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8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1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8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1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8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1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8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75" t="s">
        <v>60</v>
      </c>
      <c r="C31" s="376"/>
      <c r="D31" s="377"/>
      <c r="E31" s="197">
        <f t="shared" ref="E31:N31" si="13">SUM(E32)</f>
        <v>1000000</v>
      </c>
      <c r="F31" s="184">
        <v>0</v>
      </c>
      <c r="G31" s="184">
        <v>0</v>
      </c>
      <c r="H31" s="185">
        <f t="shared" si="13"/>
        <v>4.7607020430776095E-2</v>
      </c>
      <c r="I31" s="195">
        <f t="shared" si="13"/>
        <v>0</v>
      </c>
      <c r="J31" s="187">
        <f t="shared" si="7"/>
        <v>0</v>
      </c>
      <c r="K31" s="195">
        <f t="shared" si="13"/>
        <v>0</v>
      </c>
      <c r="L31" s="195">
        <f t="shared" si="13"/>
        <v>0</v>
      </c>
      <c r="M31" s="185">
        <f>SUM(M32)</f>
        <v>1000000</v>
      </c>
      <c r="N31" s="184">
        <f t="shared" si="13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68" t="s">
        <v>62</v>
      </c>
      <c r="C32" s="369"/>
      <c r="D32" s="370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8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75" t="s">
        <v>64</v>
      </c>
      <c r="C34" s="376"/>
      <c r="D34" s="377"/>
      <c r="E34" s="197">
        <f t="shared" ref="E34:N34" si="14">E35</f>
        <v>125734000</v>
      </c>
      <c r="F34" s="184">
        <v>0</v>
      </c>
      <c r="G34" s="184">
        <v>0</v>
      </c>
      <c r="H34" s="185">
        <f t="shared" si="14"/>
        <v>5.9858211068432015</v>
      </c>
      <c r="I34" s="195">
        <f t="shared" si="14"/>
        <v>12000000</v>
      </c>
      <c r="J34" s="187"/>
      <c r="K34" s="195">
        <f t="shared" si="14"/>
        <v>16.666666666666668</v>
      </c>
      <c r="L34" s="195">
        <f t="shared" si="14"/>
        <v>0.99763685114053358</v>
      </c>
      <c r="M34" s="185">
        <f t="shared" si="14"/>
        <v>113734000</v>
      </c>
      <c r="N34" s="184">
        <f t="shared" si="14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Q35/E35*100</f>
        <v>16.666666666666668</v>
      </c>
      <c r="L35" s="207">
        <f t="shared" si="8"/>
        <v>0.99763685114053358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75" t="s">
        <v>70</v>
      </c>
      <c r="C37" s="376"/>
      <c r="D37" s="377"/>
      <c r="E37" s="197">
        <f>SUM(E38:E39)</f>
        <v>277264000</v>
      </c>
      <c r="F37" s="184">
        <v>0</v>
      </c>
      <c r="G37" s="184">
        <v>0</v>
      </c>
      <c r="H37" s="185">
        <f t="shared" ref="H37:M37" si="15">SUM(H38:H39)</f>
        <v>13.199712912718702</v>
      </c>
      <c r="I37" s="195">
        <f t="shared" si="15"/>
        <v>19200000</v>
      </c>
      <c r="J37" s="187"/>
      <c r="K37" s="195">
        <f>SUM(K38:K39)/2</f>
        <v>8.3333333333333321</v>
      </c>
      <c r="L37" s="195">
        <f t="shared" si="15"/>
        <v>2.0232983683079837</v>
      </c>
      <c r="M37" s="185">
        <f t="shared" si="15"/>
        <v>258064000</v>
      </c>
      <c r="N37" s="184">
        <f t="shared" ref="N37" si="16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68" t="s">
        <v>72</v>
      </c>
      <c r="C38" s="369"/>
      <c r="D38" s="370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Q38/E38*100</f>
        <v>16.666666666666664</v>
      </c>
      <c r="L38" s="207">
        <f t="shared" si="8"/>
        <v>2.0232983683079837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68" t="s">
        <v>74</v>
      </c>
      <c r="C39" s="369"/>
      <c r="D39" s="370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8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7">SUM(H42:H43)</f>
        <v>3.8768777087802517</v>
      </c>
      <c r="I41" s="195">
        <f t="shared" si="17"/>
        <v>0</v>
      </c>
      <c r="J41" s="187">
        <f t="shared" si="7"/>
        <v>0</v>
      </c>
      <c r="K41" s="195">
        <f>SUM(K42:K43)/2</f>
        <v>37.5</v>
      </c>
      <c r="L41" s="195">
        <f t="shared" si="17"/>
        <v>1.3906605755585084</v>
      </c>
      <c r="M41" s="185">
        <f t="shared" si="17"/>
        <v>81435000</v>
      </c>
      <c r="N41" s="184">
        <f t="shared" ref="N41" si="18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8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8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75" t="s">
        <v>86</v>
      </c>
      <c r="C45" s="376"/>
      <c r="D45" s="377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19">SUM(H46:H50)</f>
        <v>7.7309921207415275</v>
      </c>
      <c r="I45" s="195">
        <f t="shared" si="19"/>
        <v>3600000</v>
      </c>
      <c r="J45" s="187">
        <f t="shared" si="7"/>
        <v>0.17138527355079394</v>
      </c>
      <c r="K45" s="195">
        <f>SUM(K46:K50)/5</f>
        <v>15.666666666666668</v>
      </c>
      <c r="L45" s="195">
        <f t="shared" si="19"/>
        <v>1.353508810592154</v>
      </c>
      <c r="M45" s="185">
        <f t="shared" si="19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:L49" si="20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si="20"/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 t="shared" ref="K48:K50" si="21">Q48/E48*100</f>
        <v>16.666666666666668</v>
      </c>
      <c r="L48" s="207">
        <f>K48*H48/100</f>
        <v>0.20074293614977254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68" t="s">
        <v>94</v>
      </c>
      <c r="C49" s="369"/>
      <c r="D49" s="370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0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 t="shared" si="21"/>
        <v>16.666666666666664</v>
      </c>
      <c r="L50" s="207">
        <f>K50*H50/100</f>
        <v>0.55189231884717693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2">SUM(H53:H54)</f>
        <v>0.95214040861552185</v>
      </c>
      <c r="I52" s="195">
        <f t="shared" si="22"/>
        <v>0</v>
      </c>
      <c r="J52" s="187">
        <f t="shared" si="7"/>
        <v>0</v>
      </c>
      <c r="K52" s="195">
        <f>SUM(K53:K54)/2</f>
        <v>0</v>
      </c>
      <c r="L52" s="195">
        <f t="shared" si="22"/>
        <v>0</v>
      </c>
      <c r="M52" s="185">
        <f t="shared" si="22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3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3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75" t="s">
        <v>104</v>
      </c>
      <c r="C56" s="376"/>
      <c r="D56" s="377"/>
      <c r="E56" s="199">
        <f t="shared" ref="E56:N56" si="24">SUM(E57)</f>
        <v>61200000</v>
      </c>
      <c r="F56" s="192">
        <f t="shared" si="24"/>
        <v>0</v>
      </c>
      <c r="G56" s="192">
        <f t="shared" si="24"/>
        <v>0</v>
      </c>
      <c r="H56" s="193">
        <f t="shared" si="24"/>
        <v>2.913549650363497</v>
      </c>
      <c r="I56" s="205">
        <f t="shared" si="24"/>
        <v>1800000</v>
      </c>
      <c r="J56" s="187"/>
      <c r="K56" s="205">
        <f t="shared" si="24"/>
        <v>8.5692636775396971E-2</v>
      </c>
      <c r="L56" s="205">
        <f t="shared" si="24"/>
        <v>2.4966975191568399E-3</v>
      </c>
      <c r="M56" s="193">
        <f t="shared" si="24"/>
        <v>59400000</v>
      </c>
      <c r="N56" s="192">
        <f t="shared" si="24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25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75" t="s">
        <v>116</v>
      </c>
      <c r="C59" s="376"/>
      <c r="D59" s="377"/>
      <c r="E59" s="197">
        <f t="shared" ref="E59:N59" si="26">E60</f>
        <v>151914500</v>
      </c>
      <c r="F59" s="184">
        <f t="shared" si="26"/>
        <v>0</v>
      </c>
      <c r="G59" s="184">
        <f t="shared" si="26"/>
        <v>0</v>
      </c>
      <c r="H59" s="185">
        <f t="shared" si="26"/>
        <v>7.2321967052311349</v>
      </c>
      <c r="I59" s="195">
        <f t="shared" si="26"/>
        <v>0</v>
      </c>
      <c r="J59" s="187">
        <f t="shared" si="7"/>
        <v>0</v>
      </c>
      <c r="K59" s="195">
        <f t="shared" si="26"/>
        <v>16.666666666666664</v>
      </c>
      <c r="L59" s="195">
        <f t="shared" si="26"/>
        <v>1.2053661175385222</v>
      </c>
      <c r="M59" s="185">
        <f t="shared" si="26"/>
        <v>151914500</v>
      </c>
      <c r="N59" s="184">
        <f t="shared" si="26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68" t="s">
        <v>118</v>
      </c>
      <c r="C60" s="369"/>
      <c r="D60" s="370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Q60/E60*100</f>
        <v>16.666666666666664</v>
      </c>
      <c r="L60" s="207">
        <f t="shared" ref="L60" si="27">K60*H60/100</f>
        <v>1.2053661175385222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75" t="s">
        <v>124</v>
      </c>
      <c r="C62" s="376"/>
      <c r="D62" s="377"/>
      <c r="E62" s="197">
        <f t="shared" ref="E62:N62" si="28">E63</f>
        <v>5671000</v>
      </c>
      <c r="F62" s="184">
        <f t="shared" si="28"/>
        <v>0</v>
      </c>
      <c r="G62" s="184">
        <f t="shared" si="28"/>
        <v>0</v>
      </c>
      <c r="H62" s="185">
        <f t="shared" si="28"/>
        <v>0.2699794128629312</v>
      </c>
      <c r="I62" s="195">
        <f t="shared" si="28"/>
        <v>0</v>
      </c>
      <c r="J62" s="187">
        <f t="shared" si="7"/>
        <v>0</v>
      </c>
      <c r="K62" s="195">
        <f t="shared" si="28"/>
        <v>0</v>
      </c>
      <c r="L62" s="195">
        <f t="shared" si="28"/>
        <v>0</v>
      </c>
      <c r="M62" s="185">
        <f t="shared" si="28"/>
        <v>5671000</v>
      </c>
      <c r="N62" s="184">
        <f t="shared" si="28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68" t="s">
        <v>126</v>
      </c>
      <c r="C63" s="369"/>
      <c r="D63" s="370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29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75" t="s">
        <v>128</v>
      </c>
      <c r="C65" s="376"/>
      <c r="D65" s="377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30">SUM(H66:H71)</f>
        <v>13.205949432395135</v>
      </c>
      <c r="I65" s="195">
        <f t="shared" si="30"/>
        <v>15300000</v>
      </c>
      <c r="J65" s="187"/>
      <c r="K65" s="195">
        <f>SUM(K66:K71)/6</f>
        <v>14.444444444444443</v>
      </c>
      <c r="L65" s="195">
        <f t="shared" si="30"/>
        <v>3.5331351850115351</v>
      </c>
      <c r="M65" s="185">
        <f t="shared" si="30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1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1" si="32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1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2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1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2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1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2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1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2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1"/>
        <v>1.633396870979928</v>
      </c>
      <c r="I71" s="115">
        <v>0</v>
      </c>
      <c r="J71" s="168">
        <f t="shared" si="7"/>
        <v>0</v>
      </c>
      <c r="K71" s="178">
        <f t="shared" ref="K71" si="33">Q71/E71*100</f>
        <v>16.666666666666664</v>
      </c>
      <c r="L71" s="207">
        <f t="shared" si="32"/>
        <v>0.27223281182998799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75" t="s">
        <v>142</v>
      </c>
      <c r="C73" s="376"/>
      <c r="D73" s="377"/>
      <c r="E73" s="197">
        <f t="shared" ref="E73:N73" si="34">E74</f>
        <v>57479800</v>
      </c>
      <c r="F73" s="184">
        <f t="shared" si="34"/>
        <v>0</v>
      </c>
      <c r="G73" s="184">
        <f t="shared" si="34"/>
        <v>0</v>
      </c>
      <c r="H73" s="185">
        <f t="shared" si="34"/>
        <v>2.7364420129569238</v>
      </c>
      <c r="I73" s="197">
        <f t="shared" si="34"/>
        <v>0</v>
      </c>
      <c r="J73" s="187">
        <f t="shared" si="7"/>
        <v>0</v>
      </c>
      <c r="K73" s="195">
        <f t="shared" si="34"/>
        <v>16.666666666666664</v>
      </c>
      <c r="L73" s="195">
        <f t="shared" si="34"/>
        <v>0.45607366882615386</v>
      </c>
      <c r="M73" s="184">
        <f t="shared" si="34"/>
        <v>57479800</v>
      </c>
      <c r="N73" s="184">
        <f t="shared" si="34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Q74/E74*100</f>
        <v>16.666666666666664</v>
      </c>
      <c r="L74" s="209">
        <f t="shared" ref="L74" si="35">K74*H74/100</f>
        <v>0.45607366882615386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75" t="s">
        <v>166</v>
      </c>
      <c r="C76" s="376"/>
      <c r="D76" s="377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36">H77</f>
        <v>1.6769572946740881</v>
      </c>
      <c r="I76" s="197">
        <f t="shared" si="36"/>
        <v>0</v>
      </c>
      <c r="J76" s="187">
        <f t="shared" si="7"/>
        <v>0</v>
      </c>
      <c r="K76" s="195">
        <f t="shared" si="36"/>
        <v>0</v>
      </c>
      <c r="L76" s="195">
        <f t="shared" si="36"/>
        <v>0</v>
      </c>
      <c r="M76" s="184">
        <f t="shared" si="36"/>
        <v>35225000</v>
      </c>
      <c r="N76" s="184">
        <f>SUM(N77:N84)</f>
        <v>0</v>
      </c>
      <c r="O76" s="118"/>
      <c r="P76" s="88">
        <f t="shared" ref="P76:P123" si="37">E76/12</f>
        <v>2935416.6666666665</v>
      </c>
      <c r="Q76" s="88">
        <f t="shared" ref="Q76:Q123" si="38">P76*2</f>
        <v>5870833.333333333</v>
      </c>
      <c r="R76" s="88">
        <f t="shared" ref="R76:R92" si="39">P76*3</f>
        <v>8806250</v>
      </c>
      <c r="S76" s="88">
        <f t="shared" ref="S76:S92" si="40">P76*4</f>
        <v>11741666.666666666</v>
      </c>
      <c r="T76" s="88">
        <f t="shared" ref="T76:T92" si="41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2">I77/$E$86*100</f>
        <v>0</v>
      </c>
      <c r="K77" s="178">
        <v>0</v>
      </c>
      <c r="L77" s="207">
        <f t="shared" ref="L77:L80" si="43">K77*H77/100</f>
        <v>0</v>
      </c>
      <c r="M77" s="116">
        <f t="shared" ref="M77:M83" si="44">E77-I77</f>
        <v>35225000</v>
      </c>
      <c r="N77" s="114"/>
      <c r="O77" s="118"/>
      <c r="P77" s="88">
        <f t="shared" si="37"/>
        <v>2935416.6666666665</v>
      </c>
      <c r="Q77" s="88">
        <f t="shared" si="38"/>
        <v>5870833.333333333</v>
      </c>
      <c r="R77" s="88">
        <f t="shared" si="39"/>
        <v>8806250</v>
      </c>
      <c r="S77" s="88">
        <f t="shared" si="40"/>
        <v>11741666.666666666</v>
      </c>
      <c r="T77" s="88">
        <f t="shared" si="41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2"/>
        <v>0</v>
      </c>
      <c r="K78" s="178"/>
      <c r="L78" s="207"/>
      <c r="M78" s="116">
        <f t="shared" si="44"/>
        <v>0</v>
      </c>
      <c r="N78" s="114"/>
      <c r="O78" s="118"/>
      <c r="P78" s="88">
        <f t="shared" si="37"/>
        <v>0</v>
      </c>
      <c r="Q78" s="88">
        <f t="shared" si="38"/>
        <v>0</v>
      </c>
      <c r="R78" s="88">
        <f t="shared" si="39"/>
        <v>0</v>
      </c>
      <c r="S78" s="88">
        <f t="shared" si="40"/>
        <v>0</v>
      </c>
      <c r="T78" s="88">
        <f t="shared" si="41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45">H80</f>
        <v>1.2377825312001784</v>
      </c>
      <c r="I79" s="195">
        <f t="shared" si="45"/>
        <v>0</v>
      </c>
      <c r="J79" s="187">
        <f t="shared" si="42"/>
        <v>0</v>
      </c>
      <c r="K79" s="195">
        <f t="shared" si="45"/>
        <v>0</v>
      </c>
      <c r="L79" s="195">
        <f t="shared" si="45"/>
        <v>0</v>
      </c>
      <c r="M79" s="185">
        <f t="shared" si="45"/>
        <v>26000000</v>
      </c>
      <c r="N79" s="185">
        <f t="shared" si="45"/>
        <v>0</v>
      </c>
      <c r="O79" s="118"/>
      <c r="P79" s="88">
        <f t="shared" si="37"/>
        <v>2166666.6666666665</v>
      </c>
      <c r="Q79" s="88">
        <f t="shared" si="38"/>
        <v>4333333.333333333</v>
      </c>
      <c r="R79" s="88">
        <f t="shared" si="39"/>
        <v>6500000</v>
      </c>
      <c r="S79" s="88">
        <f t="shared" si="40"/>
        <v>8666666.666666666</v>
      </c>
      <c r="T79" s="88">
        <f t="shared" si="41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2"/>
        <v>0</v>
      </c>
      <c r="K80" s="178">
        <v>0</v>
      </c>
      <c r="L80" s="207">
        <f t="shared" si="43"/>
        <v>0</v>
      </c>
      <c r="M80" s="116">
        <f t="shared" si="44"/>
        <v>26000000</v>
      </c>
      <c r="N80" s="114"/>
      <c r="O80" s="118"/>
      <c r="P80" s="88">
        <f t="shared" si="37"/>
        <v>2166666.6666666665</v>
      </c>
      <c r="Q80" s="88">
        <f t="shared" si="38"/>
        <v>4333333.333333333</v>
      </c>
      <c r="R80" s="88">
        <f t="shared" si="39"/>
        <v>6500000</v>
      </c>
      <c r="S80" s="88">
        <f t="shared" si="40"/>
        <v>8666666.666666666</v>
      </c>
      <c r="T80" s="88">
        <f t="shared" si="41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2"/>
        <v>0</v>
      </c>
      <c r="K81" s="178"/>
      <c r="L81" s="207"/>
      <c r="M81" s="116">
        <f t="shared" si="44"/>
        <v>0</v>
      </c>
      <c r="N81" s="114"/>
      <c r="O81" s="118"/>
      <c r="P81" s="88">
        <f t="shared" si="37"/>
        <v>0</v>
      </c>
      <c r="Q81" s="88">
        <f t="shared" si="38"/>
        <v>0</v>
      </c>
      <c r="R81" s="88">
        <f t="shared" si="39"/>
        <v>0</v>
      </c>
      <c r="S81" s="88">
        <f t="shared" si="40"/>
        <v>0</v>
      </c>
      <c r="T81" s="88">
        <f t="shared" si="41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46">H83</f>
        <v>1.1202030929964111</v>
      </c>
      <c r="I82" s="195">
        <f t="shared" si="46"/>
        <v>0</v>
      </c>
      <c r="J82" s="187">
        <f t="shared" si="42"/>
        <v>0</v>
      </c>
      <c r="K82" s="195">
        <f t="shared" si="46"/>
        <v>15</v>
      </c>
      <c r="L82" s="195">
        <f t="shared" si="46"/>
        <v>0.16803046394946164</v>
      </c>
      <c r="M82" s="185">
        <f t="shared" si="46"/>
        <v>23530208</v>
      </c>
      <c r="N82" s="188"/>
      <c r="O82" s="118"/>
      <c r="P82" s="88">
        <f t="shared" si="37"/>
        <v>1960850.6666666667</v>
      </c>
      <c r="Q82" s="88">
        <f t="shared" si="38"/>
        <v>3921701.3333333335</v>
      </c>
      <c r="R82" s="88">
        <f t="shared" si="39"/>
        <v>5882552</v>
      </c>
      <c r="S82" s="88">
        <f t="shared" si="40"/>
        <v>7843402.666666667</v>
      </c>
      <c r="T82" s="88">
        <f t="shared" si="41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2"/>
        <v>0</v>
      </c>
      <c r="K83" s="178">
        <v>15</v>
      </c>
      <c r="L83" s="207">
        <f>K83*H83/100</f>
        <v>0.16803046394946164</v>
      </c>
      <c r="M83" s="116">
        <f t="shared" si="44"/>
        <v>23530208</v>
      </c>
      <c r="N83" s="114"/>
      <c r="O83" s="118"/>
      <c r="P83" s="88">
        <f t="shared" si="37"/>
        <v>1960850.6666666667</v>
      </c>
      <c r="Q83" s="88">
        <f t="shared" si="38"/>
        <v>3921701.3333333335</v>
      </c>
      <c r="R83" s="88">
        <f t="shared" si="39"/>
        <v>5882552</v>
      </c>
      <c r="S83" s="88">
        <f t="shared" si="40"/>
        <v>7843402.666666667</v>
      </c>
      <c r="T83" s="88">
        <f t="shared" si="41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37"/>
        <v>0</v>
      </c>
      <c r="Q84" s="88">
        <f t="shared" si="38"/>
        <v>0</v>
      </c>
      <c r="R84" s="88">
        <f t="shared" si="39"/>
        <v>0</v>
      </c>
      <c r="S84" s="88">
        <f t="shared" si="40"/>
        <v>0</v>
      </c>
      <c r="T84" s="88">
        <f t="shared" si="41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163.69411194784439</v>
      </c>
      <c r="L85" s="148"/>
      <c r="M85" s="146"/>
      <c r="N85" s="147"/>
      <c r="O85" s="118"/>
      <c r="P85" s="88">
        <f t="shared" si="37"/>
        <v>0</v>
      </c>
      <c r="Q85" s="88">
        <f t="shared" si="38"/>
        <v>0</v>
      </c>
      <c r="R85" s="88">
        <f t="shared" si="39"/>
        <v>0</v>
      </c>
      <c r="S85" s="88">
        <f t="shared" si="40"/>
        <v>0</v>
      </c>
      <c r="T85" s="88">
        <f t="shared" si="41"/>
        <v>0</v>
      </c>
    </row>
    <row r="86" spans="1:20" ht="15.5" x14ac:dyDescent="0.35">
      <c r="A86" s="397" t="s">
        <v>145</v>
      </c>
      <c r="B86" s="398"/>
      <c r="C86" s="398"/>
      <c r="D86" s="399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10.230881996740274</v>
      </c>
      <c r="L86" s="172">
        <f>L10+L23+L31+L34+L37+L41+L45+L52+L56+L59+L62+L65+L73+L76+L79+L82</f>
        <v>14.021365607563311</v>
      </c>
      <c r="M86" s="149">
        <f>M10+M23+M31+M34+M37+M41+M45+M52+M56+M59+M62+M65+M73+M76+M79+M82</f>
        <v>2032930533</v>
      </c>
      <c r="N86" s="149"/>
      <c r="O86" s="150"/>
      <c r="P86" s="88">
        <f t="shared" si="37"/>
        <v>175044211.08333334</v>
      </c>
      <c r="Q86" s="88">
        <f t="shared" si="38"/>
        <v>350088422.16666669</v>
      </c>
      <c r="R86" s="88">
        <f t="shared" si="39"/>
        <v>525132633.25</v>
      </c>
      <c r="S86" s="88">
        <f t="shared" si="40"/>
        <v>700176844.33333337</v>
      </c>
      <c r="T86" s="88">
        <f t="shared" si="41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37"/>
        <v>0</v>
      </c>
      <c r="Q87" s="88">
        <f t="shared" si="38"/>
        <v>0</v>
      </c>
      <c r="R87" s="88">
        <f t="shared" si="39"/>
        <v>0</v>
      </c>
      <c r="S87" s="88">
        <f t="shared" si="40"/>
        <v>0</v>
      </c>
      <c r="T87" s="88">
        <f t="shared" si="41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403" t="s">
        <v>176</v>
      </c>
      <c r="K88" s="403"/>
      <c r="L88" s="403"/>
      <c r="M88" s="154"/>
      <c r="N88" s="155"/>
      <c r="O88" s="106"/>
      <c r="P88" s="88">
        <f t="shared" si="37"/>
        <v>644897173.08916664</v>
      </c>
      <c r="Q88" s="88">
        <f t="shared" si="38"/>
        <v>1289794346.1783333</v>
      </c>
      <c r="R88" s="88">
        <f t="shared" si="39"/>
        <v>1934691519.2674999</v>
      </c>
      <c r="S88" s="88">
        <f t="shared" si="40"/>
        <v>2579588692.3566666</v>
      </c>
      <c r="T88" s="88">
        <f t="shared" si="41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403" t="s">
        <v>177</v>
      </c>
      <c r="K89" s="403"/>
      <c r="L89" s="403"/>
      <c r="M89" s="154"/>
      <c r="N89" s="155"/>
      <c r="O89" s="106"/>
      <c r="P89" s="88">
        <f t="shared" si="37"/>
        <v>0</v>
      </c>
      <c r="Q89" s="88">
        <f t="shared" si="38"/>
        <v>0</v>
      </c>
      <c r="R89" s="88">
        <f t="shared" si="39"/>
        <v>0</v>
      </c>
      <c r="S89" s="88">
        <f t="shared" si="40"/>
        <v>0</v>
      </c>
      <c r="T89" s="88">
        <f t="shared" si="41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157"/>
      <c r="K90" s="157"/>
      <c r="L90" s="157"/>
      <c r="M90" s="154"/>
      <c r="N90" s="155"/>
      <c r="O90" s="106"/>
      <c r="P90" s="88">
        <f t="shared" si="37"/>
        <v>0</v>
      </c>
      <c r="Q90" s="88">
        <f t="shared" si="38"/>
        <v>0</v>
      </c>
      <c r="R90" s="88">
        <f t="shared" si="39"/>
        <v>0</v>
      </c>
      <c r="S90" s="88">
        <f t="shared" si="40"/>
        <v>0</v>
      </c>
      <c r="T90" s="88">
        <f t="shared" si="41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157"/>
      <c r="K91" s="157"/>
      <c r="L91" s="157"/>
      <c r="M91" s="154"/>
      <c r="N91" s="155"/>
      <c r="O91" s="106"/>
      <c r="P91" s="88">
        <f t="shared" si="37"/>
        <v>0</v>
      </c>
      <c r="Q91" s="88">
        <f t="shared" si="38"/>
        <v>0</v>
      </c>
      <c r="R91" s="88">
        <f t="shared" si="39"/>
        <v>0</v>
      </c>
      <c r="S91" s="88">
        <f t="shared" si="40"/>
        <v>0</v>
      </c>
      <c r="T91" s="88">
        <f t="shared" si="41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154"/>
      <c r="K92" s="157"/>
      <c r="L92" s="154"/>
      <c r="M92" s="154"/>
      <c r="N92" s="155"/>
      <c r="O92" s="106"/>
      <c r="P92" s="88">
        <f t="shared" si="37"/>
        <v>0</v>
      </c>
      <c r="Q92" s="88">
        <f t="shared" si="38"/>
        <v>0</v>
      </c>
      <c r="R92" s="88">
        <f t="shared" si="39"/>
        <v>0</v>
      </c>
      <c r="S92" s="88">
        <f t="shared" si="40"/>
        <v>0</v>
      </c>
      <c r="T92" s="88">
        <f t="shared" si="41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404" t="s">
        <v>178</v>
      </c>
      <c r="K93" s="404"/>
      <c r="L93" s="404"/>
      <c r="M93" s="154"/>
      <c r="N93" s="155"/>
      <c r="O93" s="106"/>
      <c r="P93" s="88">
        <f t="shared" si="37"/>
        <v>0</v>
      </c>
      <c r="Q93" s="88">
        <f t="shared" si="38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405" t="s">
        <v>179</v>
      </c>
      <c r="K94" s="405"/>
      <c r="L94" s="405"/>
      <c r="M94" s="162"/>
      <c r="N94" s="163"/>
      <c r="O94" s="106"/>
      <c r="P94" s="88">
        <f t="shared" si="37"/>
        <v>0</v>
      </c>
      <c r="Q94" s="88">
        <f t="shared" si="38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37"/>
        <v>0</v>
      </c>
      <c r="Q95" s="88">
        <f t="shared" si="38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37"/>
        <v>0</v>
      </c>
      <c r="Q96" s="88">
        <f t="shared" si="38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37"/>
        <v>0</v>
      </c>
      <c r="Q97" s="88">
        <f t="shared" si="38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37"/>
        <v>0</v>
      </c>
      <c r="Q98" s="88">
        <f t="shared" si="38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37"/>
        <v>0</v>
      </c>
      <c r="Q99" s="88">
        <f t="shared" si="38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37"/>
        <v>0</v>
      </c>
      <c r="Q100" s="88">
        <f t="shared" si="38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37"/>
        <v>0</v>
      </c>
      <c r="Q101" s="88">
        <f t="shared" si="38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37"/>
        <v>0</v>
      </c>
      <c r="Q102" s="88">
        <f t="shared" si="38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37"/>
        <v>0</v>
      </c>
      <c r="Q103" s="88">
        <f t="shared" si="38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37"/>
        <v>0</v>
      </c>
      <c r="Q104" s="88">
        <f t="shared" si="38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37"/>
        <v>16305000</v>
      </c>
      <c r="Q105" s="88">
        <f t="shared" si="38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37"/>
        <v>128333.33333333333</v>
      </c>
      <c r="Q106" s="88">
        <f t="shared" si="38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37"/>
        <v>1666666.6666666667</v>
      </c>
      <c r="Q107" s="88">
        <f t="shared" si="38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37"/>
        <v>5833333.333333333</v>
      </c>
      <c r="Q108" s="88">
        <f t="shared" si="38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37"/>
        <v>20650114.583333332</v>
      </c>
      <c r="Q109" s="88">
        <f t="shared" si="38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37"/>
        <v>286616.66666666669</v>
      </c>
      <c r="Q110" s="88">
        <f t="shared" si="38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37"/>
        <v>2083333.3333333333</v>
      </c>
      <c r="Q111" s="88">
        <f t="shared" si="38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37"/>
        <v>1125000</v>
      </c>
      <c r="Q112" s="88">
        <f t="shared" si="38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37"/>
        <v>333333.33333333331</v>
      </c>
      <c r="Q113" s="88">
        <f t="shared" si="38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37"/>
        <v>2050000</v>
      </c>
      <c r="Q114" s="88">
        <f t="shared" si="38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37"/>
        <v>225000</v>
      </c>
      <c r="Q115" s="88">
        <f t="shared" si="38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37"/>
        <v>0</v>
      </c>
      <c r="Q116" s="88">
        <f t="shared" si="38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37"/>
        <v>6807500</v>
      </c>
      <c r="Q117" s="88">
        <f t="shared" si="38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37"/>
        <v>4343866.666666667</v>
      </c>
      <c r="Q118" s="88">
        <f t="shared" si="38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37"/>
        <v>2429833.3333333335</v>
      </c>
      <c r="Q119" s="88">
        <f t="shared" si="38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37"/>
        <v>985416.66666666663</v>
      </c>
      <c r="Q120" s="88">
        <f t="shared" si="38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37"/>
        <v>337500</v>
      </c>
      <c r="Q121" s="88">
        <f t="shared" si="38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37"/>
        <v>600000</v>
      </c>
      <c r="Q122" s="88">
        <f t="shared" si="38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37"/>
        <v>0</v>
      </c>
      <c r="Q123" s="88">
        <f t="shared" si="38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J88:L88"/>
    <mergeCell ref="J89:L89"/>
    <mergeCell ref="J93:L93"/>
    <mergeCell ref="J94:L94"/>
    <mergeCell ref="B62:D62"/>
    <mergeCell ref="B63:D63"/>
    <mergeCell ref="B65:D65"/>
    <mergeCell ref="B73:D73"/>
    <mergeCell ref="B76:D76"/>
    <mergeCell ref="A86:D86"/>
    <mergeCell ref="B60:D60"/>
    <mergeCell ref="B23:D23"/>
    <mergeCell ref="B31:D31"/>
    <mergeCell ref="B32:D32"/>
    <mergeCell ref="B34:D34"/>
    <mergeCell ref="B37:D37"/>
    <mergeCell ref="B38:D38"/>
    <mergeCell ref="B39:D39"/>
    <mergeCell ref="B45:D45"/>
    <mergeCell ref="B49:D49"/>
    <mergeCell ref="B56:D56"/>
    <mergeCell ref="B59:D59"/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2"/>
  <sheetViews>
    <sheetView topLeftCell="A70" workbookViewId="0">
      <selection sqref="A1:N1"/>
    </sheetView>
  </sheetViews>
  <sheetFormatPr defaultColWidth="9.1796875" defaultRowHeight="14.5" x14ac:dyDescent="0.35"/>
  <cols>
    <col min="1" max="1" width="21.26953125" customWidth="1"/>
    <col min="2" max="2" width="50.1796875" customWidth="1"/>
    <col min="3" max="3" width="1.7265625" customWidth="1"/>
    <col min="4" max="4" width="6" customWidth="1"/>
    <col min="5" max="5" width="18.1796875" hidden="1" customWidth="1"/>
    <col min="6" max="6" width="16.453125" hidden="1" customWidth="1"/>
    <col min="7" max="7" width="19.81640625" customWidth="1"/>
    <col min="8" max="8" width="9.26953125" customWidth="1"/>
    <col min="9" max="9" width="18.54296875" customWidth="1"/>
    <col min="10" max="10" width="8.7265625" customWidth="1"/>
    <col min="11" max="11" width="8.453125" customWidth="1"/>
    <col min="12" max="12" width="14.81640625" customWidth="1"/>
    <col min="13" max="13" width="16.453125" customWidth="1"/>
    <col min="14" max="14" width="7.7265625" customWidth="1"/>
    <col min="15" max="15" width="21.453125" customWidth="1"/>
    <col min="16" max="16" width="23" customWidth="1"/>
  </cols>
  <sheetData>
    <row r="1" spans="1:16" ht="33.5" x14ac:dyDescent="0.85">
      <c r="A1" s="409" t="s">
        <v>148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1"/>
      <c r="O1" s="66"/>
    </row>
    <row r="2" spans="1:16" ht="33.5" x14ac:dyDescent="0.85">
      <c r="A2" s="412" t="s">
        <v>155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4"/>
      <c r="O2" s="66"/>
    </row>
    <row r="3" spans="1:16" x14ac:dyDescent="0.35">
      <c r="A3" s="67"/>
      <c r="B3" s="68"/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</row>
    <row r="4" spans="1:16" ht="15.5" x14ac:dyDescent="0.35">
      <c r="A4" s="1" t="s">
        <v>0</v>
      </c>
      <c r="B4" s="2"/>
      <c r="C4" s="3" t="s">
        <v>1</v>
      </c>
      <c r="D4" s="2" t="s">
        <v>2</v>
      </c>
      <c r="E4" s="4"/>
      <c r="F4" s="4"/>
      <c r="G4" s="5"/>
      <c r="H4" s="5"/>
      <c r="I4" s="5"/>
      <c r="J4" s="4"/>
      <c r="K4" s="4"/>
      <c r="L4" s="4"/>
      <c r="M4" s="4"/>
      <c r="N4" s="6"/>
      <c r="O4" s="4"/>
    </row>
    <row r="5" spans="1:16" ht="15.5" x14ac:dyDescent="0.35">
      <c r="A5" s="1" t="s">
        <v>3</v>
      </c>
      <c r="B5" s="2"/>
      <c r="C5" s="3" t="s">
        <v>1</v>
      </c>
      <c r="D5" s="7" t="s">
        <v>156</v>
      </c>
      <c r="E5" s="4"/>
      <c r="F5" s="4"/>
      <c r="G5" s="5"/>
      <c r="H5" s="5"/>
      <c r="I5" s="5"/>
      <c r="J5" s="4"/>
      <c r="K5" s="4"/>
      <c r="L5" s="4"/>
      <c r="M5" s="4"/>
      <c r="N5" s="6"/>
      <c r="O5" s="4"/>
    </row>
    <row r="6" spans="1:16" ht="15.5" x14ac:dyDescent="0.35">
      <c r="A6" s="415" t="s">
        <v>4</v>
      </c>
      <c r="B6" s="418" t="s">
        <v>5</v>
      </c>
      <c r="C6" s="418"/>
      <c r="D6" s="419"/>
      <c r="E6" s="424" t="s">
        <v>6</v>
      </c>
      <c r="F6" s="424" t="s">
        <v>7</v>
      </c>
      <c r="G6" s="424" t="s">
        <v>8</v>
      </c>
      <c r="H6" s="424" t="s">
        <v>9</v>
      </c>
      <c r="I6" s="427" t="s">
        <v>10</v>
      </c>
      <c r="J6" s="427"/>
      <c r="K6" s="427"/>
      <c r="L6" s="427"/>
      <c r="M6" s="424" t="s">
        <v>11</v>
      </c>
      <c r="N6" s="428" t="s">
        <v>12</v>
      </c>
      <c r="O6" s="8"/>
    </row>
    <row r="7" spans="1:16" ht="15.5" x14ac:dyDescent="0.35">
      <c r="A7" s="416"/>
      <c r="B7" s="420"/>
      <c r="C7" s="420"/>
      <c r="D7" s="421"/>
      <c r="E7" s="425"/>
      <c r="F7" s="425"/>
      <c r="G7" s="425"/>
      <c r="H7" s="425"/>
      <c r="I7" s="427" t="s">
        <v>13</v>
      </c>
      <c r="J7" s="427"/>
      <c r="K7" s="431" t="s">
        <v>14</v>
      </c>
      <c r="L7" s="431"/>
      <c r="M7" s="425"/>
      <c r="N7" s="429"/>
      <c r="O7" s="8"/>
    </row>
    <row r="8" spans="1:16" ht="15.5" x14ac:dyDescent="0.35">
      <c r="A8" s="417"/>
      <c r="B8" s="422"/>
      <c r="C8" s="422"/>
      <c r="D8" s="423"/>
      <c r="E8" s="426"/>
      <c r="F8" s="426"/>
      <c r="G8" s="426"/>
      <c r="H8" s="426"/>
      <c r="I8" s="9" t="s">
        <v>15</v>
      </c>
      <c r="J8" s="9" t="s">
        <v>16</v>
      </c>
      <c r="K8" s="9" t="s">
        <v>16</v>
      </c>
      <c r="L8" s="10" t="s">
        <v>17</v>
      </c>
      <c r="M8" s="426"/>
      <c r="N8" s="430"/>
      <c r="O8" s="8"/>
    </row>
    <row r="9" spans="1:16" ht="15.5" x14ac:dyDescent="0.35">
      <c r="A9" s="11"/>
      <c r="B9" s="12" t="s">
        <v>18</v>
      </c>
      <c r="C9" s="13"/>
      <c r="D9" s="14"/>
      <c r="E9" s="15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6" ht="15.5" x14ac:dyDescent="0.35">
      <c r="A10" s="18" t="s">
        <v>19</v>
      </c>
      <c r="B10" s="19" t="s">
        <v>20</v>
      </c>
      <c r="C10" s="20"/>
      <c r="D10" s="21"/>
      <c r="E10" s="22">
        <f>SUM(E11:E21)</f>
        <v>615553002.72000003</v>
      </c>
      <c r="F10" s="22">
        <f t="shared" ref="F10:M10" si="0">SUM(F11:F21)</f>
        <v>23478000</v>
      </c>
      <c r="G10" s="22">
        <f t="shared" si="0"/>
        <v>639031002.72000003</v>
      </c>
      <c r="H10" s="22">
        <f t="shared" si="0"/>
        <v>8.035261348030085</v>
      </c>
      <c r="I10" s="22">
        <f t="shared" si="0"/>
        <v>396951093</v>
      </c>
      <c r="J10" s="22">
        <f t="shared" si="0"/>
        <v>879.38211332938897</v>
      </c>
      <c r="K10" s="22">
        <f t="shared" si="0"/>
        <v>998.89015067877051</v>
      </c>
      <c r="L10" s="22">
        <f t="shared" si="0"/>
        <v>6.5950034511097551</v>
      </c>
      <c r="M10" s="22">
        <f t="shared" si="0"/>
        <v>242079909.72</v>
      </c>
      <c r="N10" s="23"/>
      <c r="O10" s="24"/>
    </row>
    <row r="11" spans="1:16" ht="15.5" x14ac:dyDescent="0.35">
      <c r="A11" s="25" t="s">
        <v>21</v>
      </c>
      <c r="B11" s="26" t="s">
        <v>22</v>
      </c>
      <c r="C11" s="27"/>
      <c r="D11" s="28"/>
      <c r="E11" s="29">
        <v>195960000</v>
      </c>
      <c r="F11" s="30">
        <f>G11-E11</f>
        <v>0</v>
      </c>
      <c r="G11" s="30">
        <v>195960000</v>
      </c>
      <c r="H11" s="31">
        <f>G11/$G$74*100</f>
        <v>2.4640272648084696</v>
      </c>
      <c r="I11" s="32">
        <v>52561343</v>
      </c>
      <c r="J11" s="33">
        <f>I11/G11*100</f>
        <v>26.822485711369666</v>
      </c>
      <c r="K11" s="34">
        <f>11/12*100</f>
        <v>91.666666666666657</v>
      </c>
      <c r="L11" s="35">
        <f>K11*H11/100</f>
        <v>2.2586916594077637</v>
      </c>
      <c r="M11" s="29">
        <f>G11-I11</f>
        <v>143398657</v>
      </c>
      <c r="N11" s="36"/>
      <c r="O11" s="37"/>
      <c r="P11" s="38">
        <v>1</v>
      </c>
    </row>
    <row r="12" spans="1:16" ht="15.5" x14ac:dyDescent="0.35">
      <c r="A12" s="25" t="s">
        <v>23</v>
      </c>
      <c r="B12" s="406" t="s">
        <v>24</v>
      </c>
      <c r="C12" s="407"/>
      <c r="D12" s="408"/>
      <c r="E12" s="29">
        <v>1400000</v>
      </c>
      <c r="F12" s="30">
        <f t="shared" ref="F12:F73" si="1">G12-E12</f>
        <v>0</v>
      </c>
      <c r="G12" s="30">
        <v>1400000</v>
      </c>
      <c r="H12" s="31">
        <f>G12/$G$74*100</f>
        <v>1.7603787358296884E-2</v>
      </c>
      <c r="I12" s="32">
        <v>878600</v>
      </c>
      <c r="J12" s="33">
        <f t="shared" ref="J12:J74" si="2">I12/G12*100</f>
        <v>62.757142857142853</v>
      </c>
      <c r="K12" s="34">
        <f>1*100</f>
        <v>100</v>
      </c>
      <c r="L12" s="35">
        <f t="shared" ref="L12:L41" si="3">K12*H12/100</f>
        <v>1.7603787358296884E-2</v>
      </c>
      <c r="M12" s="29">
        <f t="shared" ref="M12:M38" si="4">G12-I12</f>
        <v>521400</v>
      </c>
      <c r="N12" s="30"/>
      <c r="O12" s="37"/>
      <c r="P12" s="38">
        <v>2</v>
      </c>
    </row>
    <row r="13" spans="1:16" ht="15.5" x14ac:dyDescent="0.35">
      <c r="A13" s="25" t="s">
        <v>25</v>
      </c>
      <c r="B13" s="39" t="s">
        <v>26</v>
      </c>
      <c r="C13" s="27"/>
      <c r="D13" s="28"/>
      <c r="E13" s="29">
        <v>71720000</v>
      </c>
      <c r="F13" s="30">
        <f t="shared" si="1"/>
        <v>-44194750</v>
      </c>
      <c r="G13" s="30">
        <v>27525250</v>
      </c>
      <c r="H13" s="31">
        <f t="shared" ref="H13:H73" si="5">G13/$G$74*100</f>
        <v>0.34610617713140091</v>
      </c>
      <c r="I13" s="32">
        <v>25814000</v>
      </c>
      <c r="J13" s="33">
        <f t="shared" si="2"/>
        <v>93.782981081007449</v>
      </c>
      <c r="K13" s="34">
        <f>0.9*100</f>
        <v>90</v>
      </c>
      <c r="L13" s="35">
        <f t="shared" si="3"/>
        <v>0.31149555941826079</v>
      </c>
      <c r="M13" s="29">
        <f t="shared" si="4"/>
        <v>1711250</v>
      </c>
      <c r="N13" s="30"/>
      <c r="O13" s="37"/>
      <c r="P13" s="38">
        <v>3</v>
      </c>
    </row>
    <row r="14" spans="1:16" ht="15.5" x14ac:dyDescent="0.35">
      <c r="A14" s="25" t="s">
        <v>27</v>
      </c>
      <c r="B14" s="39" t="s">
        <v>28</v>
      </c>
      <c r="C14" s="27"/>
      <c r="D14" s="28"/>
      <c r="E14" s="29">
        <v>5220200</v>
      </c>
      <c r="F14" s="30">
        <f t="shared" si="1"/>
        <v>0</v>
      </c>
      <c r="G14" s="30">
        <v>5220200</v>
      </c>
      <c r="H14" s="31">
        <f t="shared" si="5"/>
        <v>6.5639493405558136E-2</v>
      </c>
      <c r="I14" s="32">
        <v>5196200</v>
      </c>
      <c r="J14" s="33">
        <f t="shared" si="2"/>
        <v>99.540247500095774</v>
      </c>
      <c r="K14" s="34">
        <f>1*100</f>
        <v>100</v>
      </c>
      <c r="L14" s="35">
        <f t="shared" si="3"/>
        <v>6.5639493405558136E-2</v>
      </c>
      <c r="M14" s="29">
        <f t="shared" si="4"/>
        <v>24000</v>
      </c>
      <c r="N14" s="30"/>
      <c r="O14" s="37"/>
      <c r="P14" s="38">
        <v>4</v>
      </c>
    </row>
    <row r="15" spans="1:16" ht="15.5" x14ac:dyDescent="0.35">
      <c r="A15" s="25" t="s">
        <v>29</v>
      </c>
      <c r="B15" s="406" t="s">
        <v>30</v>
      </c>
      <c r="C15" s="407"/>
      <c r="D15" s="408"/>
      <c r="E15" s="29">
        <v>3240000</v>
      </c>
      <c r="F15" s="30">
        <f t="shared" si="1"/>
        <v>0</v>
      </c>
      <c r="G15" s="29">
        <v>3240000</v>
      </c>
      <c r="H15" s="31">
        <f t="shared" si="5"/>
        <v>4.0740193600629929E-2</v>
      </c>
      <c r="I15" s="32">
        <v>2400000</v>
      </c>
      <c r="J15" s="33">
        <f t="shared" si="2"/>
        <v>74.074074074074076</v>
      </c>
      <c r="K15" s="34">
        <f>11/12*100</f>
        <v>91.666666666666657</v>
      </c>
      <c r="L15" s="35">
        <f t="shared" si="3"/>
        <v>3.7345177467244098E-2</v>
      </c>
      <c r="M15" s="29">
        <f t="shared" si="4"/>
        <v>840000</v>
      </c>
      <c r="N15" s="30"/>
      <c r="O15" s="37"/>
      <c r="P15" s="38">
        <v>5</v>
      </c>
    </row>
    <row r="16" spans="1:16" ht="15.5" x14ac:dyDescent="0.35">
      <c r="A16" s="25" t="s">
        <v>31</v>
      </c>
      <c r="B16" s="39" t="s">
        <v>32</v>
      </c>
      <c r="C16" s="27"/>
      <c r="D16" s="28"/>
      <c r="E16" s="29">
        <v>12600000</v>
      </c>
      <c r="F16" s="30">
        <f t="shared" si="1"/>
        <v>0</v>
      </c>
      <c r="G16" s="29">
        <v>12600000</v>
      </c>
      <c r="H16" s="31">
        <f t="shared" si="5"/>
        <v>0.15843408622467195</v>
      </c>
      <c r="I16" s="32">
        <v>9000000</v>
      </c>
      <c r="J16" s="33">
        <f t="shared" si="2"/>
        <v>71.428571428571431</v>
      </c>
      <c r="K16" s="34">
        <f>J16</f>
        <v>71.428571428571431</v>
      </c>
      <c r="L16" s="35">
        <f t="shared" si="3"/>
        <v>0.11316720444619426</v>
      </c>
      <c r="M16" s="29">
        <f t="shared" si="4"/>
        <v>3600000</v>
      </c>
      <c r="N16" s="30"/>
      <c r="O16" s="37"/>
      <c r="P16" s="38">
        <v>6</v>
      </c>
    </row>
    <row r="17" spans="1:17" ht="15.5" x14ac:dyDescent="0.35">
      <c r="A17" s="25" t="s">
        <v>33</v>
      </c>
      <c r="B17" s="39" t="s">
        <v>34</v>
      </c>
      <c r="C17" s="27"/>
      <c r="D17" s="28"/>
      <c r="E17" s="29">
        <v>66600000</v>
      </c>
      <c r="F17" s="30">
        <f t="shared" si="1"/>
        <v>13200000</v>
      </c>
      <c r="G17" s="30">
        <v>79800000</v>
      </c>
      <c r="H17" s="31">
        <f t="shared" si="5"/>
        <v>1.0034158794229224</v>
      </c>
      <c r="I17" s="32">
        <v>74913050</v>
      </c>
      <c r="J17" s="33">
        <f t="shared" si="2"/>
        <v>93.876002506265664</v>
      </c>
      <c r="K17" s="34">
        <f>J17</f>
        <v>93.876002506265664</v>
      </c>
      <c r="L17" s="35">
        <f t="shared" si="3"/>
        <v>0.94196671611533034</v>
      </c>
      <c r="M17" s="29">
        <f t="shared" si="4"/>
        <v>4886950</v>
      </c>
      <c r="N17" s="30"/>
      <c r="O17" s="37"/>
      <c r="P17" s="38">
        <v>7</v>
      </c>
      <c r="Q17" s="38"/>
    </row>
    <row r="18" spans="1:17" ht="15.5" x14ac:dyDescent="0.35">
      <c r="A18" s="25" t="s">
        <v>35</v>
      </c>
      <c r="B18" s="39" t="s">
        <v>36</v>
      </c>
      <c r="C18" s="27"/>
      <c r="D18" s="28"/>
      <c r="E18" s="29">
        <v>219175200</v>
      </c>
      <c r="F18" s="30">
        <f t="shared" si="1"/>
        <v>53490000</v>
      </c>
      <c r="G18" s="30">
        <v>272665200</v>
      </c>
      <c r="H18" s="31">
        <f t="shared" si="5"/>
        <v>3.4285287148624937</v>
      </c>
      <c r="I18" s="32">
        <v>187009000</v>
      </c>
      <c r="J18" s="33">
        <f t="shared" si="2"/>
        <v>68.585576743933586</v>
      </c>
      <c r="K18" s="34">
        <f>J18</f>
        <v>68.585576743933586</v>
      </c>
      <c r="L18" s="35">
        <f>K18*H18/100</f>
        <v>2.3514761929198156</v>
      </c>
      <c r="M18" s="29">
        <f t="shared" si="4"/>
        <v>85656200</v>
      </c>
      <c r="N18" s="30"/>
      <c r="O18" s="37"/>
      <c r="P18" s="38">
        <v>8</v>
      </c>
    </row>
    <row r="19" spans="1:17" ht="15.5" x14ac:dyDescent="0.35">
      <c r="A19" s="25" t="s">
        <v>37</v>
      </c>
      <c r="B19" s="39" t="s">
        <v>38</v>
      </c>
      <c r="C19" s="27"/>
      <c r="D19" s="28"/>
      <c r="E19" s="29">
        <v>24828102.719999999</v>
      </c>
      <c r="F19" s="30">
        <f t="shared" si="1"/>
        <v>0</v>
      </c>
      <c r="G19" s="29">
        <v>24828102.719999999</v>
      </c>
      <c r="H19" s="31">
        <f t="shared" si="5"/>
        <v>0.31219188628059458</v>
      </c>
      <c r="I19" s="32">
        <v>24827400</v>
      </c>
      <c r="J19" s="33">
        <f t="shared" si="2"/>
        <v>99.997169658882427</v>
      </c>
      <c r="K19" s="34">
        <f>1*100</f>
        <v>100</v>
      </c>
      <c r="L19" s="35">
        <f t="shared" si="3"/>
        <v>0.31219188628059458</v>
      </c>
      <c r="M19" s="29">
        <f t="shared" si="4"/>
        <v>702.71999999880791</v>
      </c>
      <c r="N19" s="30"/>
      <c r="O19" s="37"/>
      <c r="P19" s="38">
        <v>9</v>
      </c>
    </row>
    <row r="20" spans="1:17" ht="15.5" x14ac:dyDescent="0.35">
      <c r="A20" s="25" t="s">
        <v>39</v>
      </c>
      <c r="B20" s="39" t="s">
        <v>40</v>
      </c>
      <c r="C20" s="27"/>
      <c r="D20" s="28"/>
      <c r="E20" s="29">
        <v>11565000</v>
      </c>
      <c r="F20" s="30">
        <f t="shared" si="1"/>
        <v>982750</v>
      </c>
      <c r="G20" s="30">
        <v>12547750</v>
      </c>
      <c r="H20" s="31">
        <f t="shared" si="5"/>
        <v>0.15777708773219265</v>
      </c>
      <c r="I20" s="32">
        <v>11107000</v>
      </c>
      <c r="J20" s="33">
        <f t="shared" si="2"/>
        <v>88.517861768046075</v>
      </c>
      <c r="K20" s="34">
        <f>11/12*100</f>
        <v>91.666666666666657</v>
      </c>
      <c r="L20" s="35">
        <f t="shared" si="3"/>
        <v>0.14462899708784327</v>
      </c>
      <c r="M20" s="29">
        <f t="shared" si="4"/>
        <v>1440750</v>
      </c>
      <c r="N20" s="30"/>
      <c r="O20" s="37"/>
      <c r="P20" s="38">
        <v>10</v>
      </c>
    </row>
    <row r="21" spans="1:17" ht="15.5" x14ac:dyDescent="0.35">
      <c r="A21" s="25" t="s">
        <v>41</v>
      </c>
      <c r="B21" s="406" t="s">
        <v>42</v>
      </c>
      <c r="C21" s="407"/>
      <c r="D21" s="408"/>
      <c r="E21" s="29">
        <v>3244500</v>
      </c>
      <c r="F21" s="30">
        <f t="shared" si="1"/>
        <v>0</v>
      </c>
      <c r="G21" s="29">
        <v>3244500</v>
      </c>
      <c r="H21" s="31">
        <f t="shared" si="5"/>
        <v>4.0796777202853025E-2</v>
      </c>
      <c r="I21" s="32">
        <v>3244500</v>
      </c>
      <c r="J21" s="33">
        <f t="shared" si="2"/>
        <v>100</v>
      </c>
      <c r="K21" s="34">
        <v>100</v>
      </c>
      <c r="L21" s="35">
        <f t="shared" si="3"/>
        <v>4.0796777202853025E-2</v>
      </c>
      <c r="M21" s="29">
        <f t="shared" si="4"/>
        <v>0</v>
      </c>
      <c r="N21" s="30"/>
      <c r="O21" s="37"/>
      <c r="P21" s="38">
        <v>11</v>
      </c>
      <c r="Q21" s="38"/>
    </row>
    <row r="22" spans="1:17" ht="15.5" x14ac:dyDescent="0.35">
      <c r="A22" s="18" t="s">
        <v>43</v>
      </c>
      <c r="B22" s="432" t="s">
        <v>44</v>
      </c>
      <c r="C22" s="433"/>
      <c r="D22" s="434"/>
      <c r="E22" s="22">
        <f>SUM(E23:E29)</f>
        <v>405799400</v>
      </c>
      <c r="F22" s="22">
        <f t="shared" ref="F22:M22" si="6">SUM(F23:F29)</f>
        <v>7964000</v>
      </c>
      <c r="G22" s="22">
        <f>SUM(G23:G29)</f>
        <v>413763400</v>
      </c>
      <c r="H22" s="22">
        <f t="shared" si="6"/>
        <v>5.2027163644613834</v>
      </c>
      <c r="I22" s="22">
        <f t="shared" si="6"/>
        <v>402131883</v>
      </c>
      <c r="J22" s="22">
        <f t="shared" si="6"/>
        <v>673.5304918991643</v>
      </c>
      <c r="K22" s="22">
        <f t="shared" si="6"/>
        <v>690</v>
      </c>
      <c r="L22" s="22">
        <f t="shared" si="6"/>
        <v>5.1446107890798229</v>
      </c>
      <c r="M22" s="22">
        <f t="shared" si="6"/>
        <v>11631517</v>
      </c>
      <c r="N22" s="30"/>
      <c r="O22" s="37"/>
      <c r="P22" s="38"/>
    </row>
    <row r="23" spans="1:17" ht="15.5" x14ac:dyDescent="0.35">
      <c r="A23" s="25" t="s">
        <v>45</v>
      </c>
      <c r="B23" s="39" t="s">
        <v>46</v>
      </c>
      <c r="C23" s="27"/>
      <c r="D23" s="28"/>
      <c r="E23" s="29">
        <v>217099000</v>
      </c>
      <c r="F23" s="30">
        <f t="shared" si="1"/>
        <v>0</v>
      </c>
      <c r="G23" s="29">
        <v>217099000</v>
      </c>
      <c r="H23" s="31">
        <f t="shared" si="5"/>
        <v>2.7298318797849253</v>
      </c>
      <c r="I23" s="32">
        <v>217099000</v>
      </c>
      <c r="J23" s="33">
        <f t="shared" si="2"/>
        <v>100</v>
      </c>
      <c r="K23" s="34">
        <v>100</v>
      </c>
      <c r="L23" s="35">
        <f t="shared" si="3"/>
        <v>2.7298318797849253</v>
      </c>
      <c r="M23" s="29">
        <f t="shared" si="4"/>
        <v>0</v>
      </c>
      <c r="N23" s="30"/>
      <c r="O23" s="37"/>
      <c r="P23" s="38">
        <v>12</v>
      </c>
    </row>
    <row r="24" spans="1:17" ht="15.5" x14ac:dyDescent="0.35">
      <c r="A24" s="25" t="s">
        <v>47</v>
      </c>
      <c r="B24" s="39" t="s">
        <v>48</v>
      </c>
      <c r="C24" s="20"/>
      <c r="D24" s="21"/>
      <c r="E24" s="29">
        <v>35000000</v>
      </c>
      <c r="F24" s="30">
        <f t="shared" si="1"/>
        <v>0</v>
      </c>
      <c r="G24" s="29">
        <v>35000000</v>
      </c>
      <c r="H24" s="31">
        <f t="shared" si="5"/>
        <v>0.44009468395742213</v>
      </c>
      <c r="I24" s="32">
        <v>35000000</v>
      </c>
      <c r="J24" s="33">
        <f t="shared" si="2"/>
        <v>100</v>
      </c>
      <c r="K24" s="34">
        <v>100</v>
      </c>
      <c r="L24" s="35">
        <f t="shared" si="3"/>
        <v>0.44009468395742213</v>
      </c>
      <c r="M24" s="29">
        <f t="shared" si="4"/>
        <v>0</v>
      </c>
      <c r="N24" s="30"/>
      <c r="O24" s="37"/>
      <c r="P24" s="38">
        <v>13</v>
      </c>
    </row>
    <row r="25" spans="1:17" ht="15.5" x14ac:dyDescent="0.35">
      <c r="A25" s="25" t="s">
        <v>49</v>
      </c>
      <c r="B25" s="39" t="s">
        <v>50</v>
      </c>
      <c r="C25" s="27"/>
      <c r="D25" s="28"/>
      <c r="E25" s="29">
        <v>38246400</v>
      </c>
      <c r="F25" s="30">
        <f t="shared" si="1"/>
        <v>7964000</v>
      </c>
      <c r="G25" s="30">
        <v>46210400</v>
      </c>
      <c r="H25" s="31">
        <f t="shared" si="5"/>
        <v>0.58105575381560159</v>
      </c>
      <c r="I25" s="32">
        <v>34638883</v>
      </c>
      <c r="J25" s="33">
        <f t="shared" si="2"/>
        <v>74.959063327735748</v>
      </c>
      <c r="K25" s="34">
        <f>0.9*100</f>
        <v>90</v>
      </c>
      <c r="L25" s="35">
        <f t="shared" si="3"/>
        <v>0.52295017843404146</v>
      </c>
      <c r="M25" s="29">
        <f t="shared" si="4"/>
        <v>11571517</v>
      </c>
      <c r="N25" s="30"/>
      <c r="O25" s="37"/>
      <c r="P25" s="38">
        <v>14</v>
      </c>
    </row>
    <row r="26" spans="1:17" ht="15.5" x14ac:dyDescent="0.35">
      <c r="A26" s="25" t="s">
        <v>51</v>
      </c>
      <c r="B26" s="39" t="s">
        <v>52</v>
      </c>
      <c r="C26" s="27"/>
      <c r="D26" s="28"/>
      <c r="E26" s="29">
        <v>97064000</v>
      </c>
      <c r="F26" s="30">
        <f t="shared" si="1"/>
        <v>0</v>
      </c>
      <c r="G26" s="29">
        <v>97064000</v>
      </c>
      <c r="H26" s="31">
        <f t="shared" si="5"/>
        <v>1.2204957258183777</v>
      </c>
      <c r="I26" s="32">
        <v>97064000</v>
      </c>
      <c r="J26" s="33">
        <f t="shared" si="2"/>
        <v>100</v>
      </c>
      <c r="K26" s="34">
        <v>100</v>
      </c>
      <c r="L26" s="35">
        <f t="shared" si="3"/>
        <v>1.2204957258183777</v>
      </c>
      <c r="M26" s="29">
        <f t="shared" si="4"/>
        <v>0</v>
      </c>
      <c r="N26" s="30"/>
      <c r="O26" s="37"/>
      <c r="P26" s="38">
        <v>15</v>
      </c>
    </row>
    <row r="27" spans="1:17" ht="15.5" x14ac:dyDescent="0.35">
      <c r="A27" s="25" t="s">
        <v>53</v>
      </c>
      <c r="B27" s="39" t="s">
        <v>54</v>
      </c>
      <c r="C27" s="40"/>
      <c r="D27" s="41"/>
      <c r="E27" s="29">
        <v>10690000</v>
      </c>
      <c r="F27" s="30">
        <f t="shared" si="1"/>
        <v>0</v>
      </c>
      <c r="G27" s="29">
        <v>10690000</v>
      </c>
      <c r="H27" s="31">
        <f t="shared" si="5"/>
        <v>0.13441749061442407</v>
      </c>
      <c r="I27" s="32">
        <v>10690000</v>
      </c>
      <c r="J27" s="33">
        <f t="shared" si="2"/>
        <v>100</v>
      </c>
      <c r="K27" s="34">
        <v>100</v>
      </c>
      <c r="L27" s="35">
        <f t="shared" si="3"/>
        <v>0.13441749061442407</v>
      </c>
      <c r="M27" s="29">
        <f t="shared" si="4"/>
        <v>0</v>
      </c>
      <c r="N27" s="30"/>
      <c r="O27" s="37"/>
      <c r="P27" s="38">
        <v>16</v>
      </c>
    </row>
    <row r="28" spans="1:17" ht="15.5" x14ac:dyDescent="0.35">
      <c r="A28" s="25" t="s">
        <v>55</v>
      </c>
      <c r="B28" s="39" t="s">
        <v>56</v>
      </c>
      <c r="C28" s="40"/>
      <c r="D28" s="41"/>
      <c r="E28" s="29">
        <v>4200000</v>
      </c>
      <c r="F28" s="30">
        <f t="shared" si="1"/>
        <v>0</v>
      </c>
      <c r="G28" s="29">
        <v>4200000</v>
      </c>
      <c r="H28" s="31">
        <f t="shared" si="5"/>
        <v>5.2811362074890657E-2</v>
      </c>
      <c r="I28" s="32">
        <v>4140000</v>
      </c>
      <c r="J28" s="33">
        <f t="shared" si="2"/>
        <v>98.571428571428584</v>
      </c>
      <c r="K28" s="34">
        <v>100</v>
      </c>
      <c r="L28" s="35">
        <f t="shared" si="3"/>
        <v>5.2811362074890657E-2</v>
      </c>
      <c r="M28" s="29">
        <f t="shared" si="4"/>
        <v>60000</v>
      </c>
      <c r="N28" s="30"/>
      <c r="O28" s="37"/>
      <c r="P28" s="38">
        <v>17</v>
      </c>
    </row>
    <row r="29" spans="1:17" ht="15.5" x14ac:dyDescent="0.35">
      <c r="A29" s="25" t="s">
        <v>57</v>
      </c>
      <c r="B29" s="39" t="s">
        <v>58</v>
      </c>
      <c r="C29" s="40"/>
      <c r="D29" s="41"/>
      <c r="E29" s="29">
        <v>3500000</v>
      </c>
      <c r="F29" s="30">
        <f t="shared" si="1"/>
        <v>0</v>
      </c>
      <c r="G29" s="29">
        <v>3500000</v>
      </c>
      <c r="H29" s="31">
        <f t="shared" si="5"/>
        <v>4.4009468395742206E-2</v>
      </c>
      <c r="I29" s="32">
        <v>3500000</v>
      </c>
      <c r="J29" s="33">
        <f t="shared" si="2"/>
        <v>100</v>
      </c>
      <c r="K29" s="34">
        <v>100</v>
      </c>
      <c r="L29" s="35">
        <f t="shared" si="3"/>
        <v>4.4009468395742199E-2</v>
      </c>
      <c r="M29" s="29">
        <f t="shared" si="4"/>
        <v>0</v>
      </c>
      <c r="N29" s="30"/>
      <c r="O29" s="37"/>
      <c r="P29" s="38">
        <v>18</v>
      </c>
    </row>
    <row r="30" spans="1:17" ht="15.5" x14ac:dyDescent="0.35">
      <c r="A30" s="18" t="s">
        <v>59</v>
      </c>
      <c r="B30" s="432" t="s">
        <v>60</v>
      </c>
      <c r="C30" s="433"/>
      <c r="D30" s="434"/>
      <c r="E30" s="22">
        <f>SUM(E31)</f>
        <v>8012000</v>
      </c>
      <c r="F30" s="22">
        <f t="shared" ref="F30:N30" si="7">SUM(F31)</f>
        <v>0</v>
      </c>
      <c r="G30" s="22">
        <f t="shared" si="7"/>
        <v>8012000</v>
      </c>
      <c r="H30" s="22">
        <f t="shared" si="7"/>
        <v>0.10074396022476759</v>
      </c>
      <c r="I30" s="22">
        <f t="shared" si="7"/>
        <v>4227200</v>
      </c>
      <c r="J30" s="22">
        <f t="shared" si="7"/>
        <v>52.760858711932102</v>
      </c>
      <c r="K30" s="22">
        <f t="shared" si="7"/>
        <v>90</v>
      </c>
      <c r="L30" s="22">
        <f t="shared" si="7"/>
        <v>9.0669564202290831E-2</v>
      </c>
      <c r="M30" s="22">
        <f t="shared" si="7"/>
        <v>3784800</v>
      </c>
      <c r="N30" s="22">
        <f t="shared" si="7"/>
        <v>0</v>
      </c>
      <c r="O30" s="37"/>
      <c r="P30" s="38"/>
    </row>
    <row r="31" spans="1:17" ht="15.5" x14ac:dyDescent="0.35">
      <c r="A31" s="25" t="s">
        <v>61</v>
      </c>
      <c r="B31" s="406" t="s">
        <v>62</v>
      </c>
      <c r="C31" s="407"/>
      <c r="D31" s="408"/>
      <c r="E31" s="29">
        <v>8012000</v>
      </c>
      <c r="F31" s="30">
        <f t="shared" si="1"/>
        <v>0</v>
      </c>
      <c r="G31" s="29">
        <v>8012000</v>
      </c>
      <c r="H31" s="31">
        <f t="shared" si="5"/>
        <v>0.10074396022476759</v>
      </c>
      <c r="I31" s="32">
        <v>4227200</v>
      </c>
      <c r="J31" s="33">
        <f t="shared" si="2"/>
        <v>52.760858711932102</v>
      </c>
      <c r="K31" s="34">
        <v>90</v>
      </c>
      <c r="L31" s="35">
        <f t="shared" si="3"/>
        <v>9.0669564202290831E-2</v>
      </c>
      <c r="M31" s="29">
        <f t="shared" si="4"/>
        <v>3784800</v>
      </c>
      <c r="N31" s="30"/>
      <c r="O31" s="37"/>
      <c r="P31" s="38">
        <v>19</v>
      </c>
    </row>
    <row r="32" spans="1:17" ht="15.5" x14ac:dyDescent="0.35">
      <c r="A32" s="18" t="s">
        <v>63</v>
      </c>
      <c r="B32" s="432" t="s">
        <v>64</v>
      </c>
      <c r="C32" s="433"/>
      <c r="D32" s="434"/>
      <c r="E32" s="22">
        <f>E33</f>
        <v>120096000</v>
      </c>
      <c r="F32" s="22">
        <f t="shared" ref="F32:N32" si="8">F33</f>
        <v>27589000</v>
      </c>
      <c r="G32" s="22">
        <f t="shared" si="8"/>
        <v>147685000</v>
      </c>
      <c r="H32" s="22">
        <f t="shared" si="8"/>
        <v>1.857010954292911</v>
      </c>
      <c r="I32" s="22">
        <f t="shared" si="8"/>
        <v>123615000</v>
      </c>
      <c r="J32" s="22">
        <f t="shared" si="8"/>
        <v>83.701797745200935</v>
      </c>
      <c r="K32" s="22">
        <f t="shared" si="8"/>
        <v>91.666666666666657</v>
      </c>
      <c r="L32" s="22">
        <f t="shared" si="8"/>
        <v>1.7022600414351683</v>
      </c>
      <c r="M32" s="22">
        <f t="shared" si="8"/>
        <v>24070000</v>
      </c>
      <c r="N32" s="22">
        <f t="shared" si="8"/>
        <v>0</v>
      </c>
      <c r="O32" s="37"/>
      <c r="P32" s="38"/>
    </row>
    <row r="33" spans="1:16" ht="15.5" x14ac:dyDescent="0.35">
      <c r="A33" s="25" t="s">
        <v>65</v>
      </c>
      <c r="B33" s="39" t="s">
        <v>66</v>
      </c>
      <c r="C33" s="27"/>
      <c r="D33" s="28"/>
      <c r="E33" s="29">
        <v>120096000</v>
      </c>
      <c r="F33" s="30">
        <f t="shared" si="1"/>
        <v>27589000</v>
      </c>
      <c r="G33" s="30">
        <v>147685000</v>
      </c>
      <c r="H33" s="31">
        <f t="shared" si="5"/>
        <v>1.857010954292911</v>
      </c>
      <c r="I33" s="32">
        <v>123615000</v>
      </c>
      <c r="J33" s="33">
        <f t="shared" si="2"/>
        <v>83.701797745200935</v>
      </c>
      <c r="K33" s="34">
        <f>11/12*100</f>
        <v>91.666666666666657</v>
      </c>
      <c r="L33" s="35">
        <f t="shared" si="3"/>
        <v>1.7022600414351683</v>
      </c>
      <c r="M33" s="29">
        <f t="shared" si="4"/>
        <v>24070000</v>
      </c>
      <c r="N33" s="30"/>
      <c r="O33" s="37"/>
      <c r="P33" s="38">
        <v>20</v>
      </c>
    </row>
    <row r="34" spans="1:16" ht="15.5" x14ac:dyDescent="0.35">
      <c r="A34" s="18" t="s">
        <v>67</v>
      </c>
      <c r="B34" s="42" t="s">
        <v>68</v>
      </c>
      <c r="C34" s="27"/>
      <c r="D34" s="28"/>
      <c r="E34" s="22">
        <f>E35</f>
        <v>182530000</v>
      </c>
      <c r="F34" s="22">
        <f t="shared" ref="F34:N34" si="9">F35</f>
        <v>0</v>
      </c>
      <c r="G34" s="22">
        <f t="shared" si="9"/>
        <v>182530000</v>
      </c>
      <c r="H34" s="22">
        <f t="shared" si="9"/>
        <v>2.2951566475070928</v>
      </c>
      <c r="I34" s="22">
        <f t="shared" si="9"/>
        <v>182470000</v>
      </c>
      <c r="J34" s="22">
        <f t="shared" si="9"/>
        <v>99.967128691174054</v>
      </c>
      <c r="K34" s="22">
        <f t="shared" si="9"/>
        <v>100</v>
      </c>
      <c r="L34" s="22">
        <f t="shared" si="9"/>
        <v>2.2951566475070928</v>
      </c>
      <c r="M34" s="22">
        <f t="shared" si="9"/>
        <v>60000</v>
      </c>
      <c r="N34" s="22">
        <f t="shared" si="9"/>
        <v>0</v>
      </c>
      <c r="O34" s="37"/>
      <c r="P34" s="38"/>
    </row>
    <row r="35" spans="1:16" ht="15.5" x14ac:dyDescent="0.35">
      <c r="A35" s="25" t="s">
        <v>67</v>
      </c>
      <c r="B35" s="39" t="s">
        <v>69</v>
      </c>
      <c r="C35" s="27"/>
      <c r="D35" s="28"/>
      <c r="E35" s="29">
        <v>182530000</v>
      </c>
      <c r="F35" s="30">
        <f t="shared" si="1"/>
        <v>0</v>
      </c>
      <c r="G35" s="30">
        <v>182530000</v>
      </c>
      <c r="H35" s="31">
        <f t="shared" si="5"/>
        <v>2.2951566475070928</v>
      </c>
      <c r="I35" s="32">
        <v>182470000</v>
      </c>
      <c r="J35" s="33">
        <f t="shared" si="2"/>
        <v>99.967128691174054</v>
      </c>
      <c r="K35" s="34">
        <v>100</v>
      </c>
      <c r="L35" s="35">
        <f t="shared" si="3"/>
        <v>2.2951566475070928</v>
      </c>
      <c r="M35" s="29">
        <f t="shared" si="4"/>
        <v>60000</v>
      </c>
      <c r="N35" s="30"/>
      <c r="O35" s="37"/>
      <c r="P35" s="38">
        <v>21</v>
      </c>
    </row>
    <row r="36" spans="1:16" ht="15.5" x14ac:dyDescent="0.35">
      <c r="A36" s="18" t="s">
        <v>67</v>
      </c>
      <c r="B36" s="432" t="s">
        <v>70</v>
      </c>
      <c r="C36" s="433"/>
      <c r="D36" s="434"/>
      <c r="E36" s="22">
        <f>SUM(E37:E38)</f>
        <v>169650000</v>
      </c>
      <c r="F36" s="22">
        <f t="shared" ref="F36:N36" si="10">SUM(F37:F38)</f>
        <v>56845000</v>
      </c>
      <c r="G36" s="22">
        <f t="shared" si="10"/>
        <v>226495000</v>
      </c>
      <c r="H36" s="22">
        <f t="shared" si="10"/>
        <v>2.8479784412267519</v>
      </c>
      <c r="I36" s="22">
        <f t="shared" si="10"/>
        <v>183835000</v>
      </c>
      <c r="J36" s="22">
        <f t="shared" si="10"/>
        <v>159.98893177549729</v>
      </c>
      <c r="K36" s="22">
        <f t="shared" si="10"/>
        <v>181.66666666666666</v>
      </c>
      <c r="L36" s="22">
        <f t="shared" si="10"/>
        <v>2.6092071661346239</v>
      </c>
      <c r="M36" s="22">
        <f t="shared" si="10"/>
        <v>42660000</v>
      </c>
      <c r="N36" s="22">
        <f t="shared" si="10"/>
        <v>0</v>
      </c>
      <c r="O36" s="37"/>
      <c r="P36" s="38"/>
    </row>
    <row r="37" spans="1:16" ht="15.5" x14ac:dyDescent="0.35">
      <c r="A37" s="25" t="s">
        <v>71</v>
      </c>
      <c r="B37" s="406" t="s">
        <v>72</v>
      </c>
      <c r="C37" s="407"/>
      <c r="D37" s="408"/>
      <c r="E37" s="29">
        <v>162780000</v>
      </c>
      <c r="F37" s="30">
        <f t="shared" si="1"/>
        <v>56845000</v>
      </c>
      <c r="G37" s="29">
        <v>219625000</v>
      </c>
      <c r="H37" s="31">
        <f t="shared" si="5"/>
        <v>2.7615941418328238</v>
      </c>
      <c r="I37" s="32">
        <v>178425000</v>
      </c>
      <c r="J37" s="33">
        <f t="shared" si="2"/>
        <v>81.240751280591923</v>
      </c>
      <c r="K37" s="34">
        <f>11/12*100</f>
        <v>91.666666666666657</v>
      </c>
      <c r="L37" s="35">
        <f t="shared" si="3"/>
        <v>2.5314612966800882</v>
      </c>
      <c r="M37" s="29">
        <f t="shared" si="4"/>
        <v>41200000</v>
      </c>
      <c r="N37" s="30"/>
      <c r="O37" s="37"/>
      <c r="P37" s="38">
        <v>22</v>
      </c>
    </row>
    <row r="38" spans="1:16" ht="15.5" x14ac:dyDescent="0.35">
      <c r="A38" s="25" t="s">
        <v>73</v>
      </c>
      <c r="B38" s="406" t="s">
        <v>74</v>
      </c>
      <c r="C38" s="407"/>
      <c r="D38" s="408"/>
      <c r="E38" s="29">
        <v>6870000</v>
      </c>
      <c r="F38" s="30">
        <f t="shared" si="1"/>
        <v>0</v>
      </c>
      <c r="G38" s="30">
        <v>6870000</v>
      </c>
      <c r="H38" s="31">
        <f t="shared" si="5"/>
        <v>8.638429939392829E-2</v>
      </c>
      <c r="I38" s="32">
        <v>5410000</v>
      </c>
      <c r="J38" s="33">
        <f t="shared" si="2"/>
        <v>78.748180494905384</v>
      </c>
      <c r="K38" s="34">
        <f>0.9*100</f>
        <v>90</v>
      </c>
      <c r="L38" s="35">
        <f t="shared" si="3"/>
        <v>7.774586945453546E-2</v>
      </c>
      <c r="M38" s="29">
        <f t="shared" si="4"/>
        <v>1460000</v>
      </c>
      <c r="N38" s="30"/>
      <c r="O38" s="37"/>
      <c r="P38" s="38">
        <v>23</v>
      </c>
    </row>
    <row r="39" spans="1:16" ht="31" x14ac:dyDescent="0.35">
      <c r="A39" s="18" t="s">
        <v>75</v>
      </c>
      <c r="B39" s="42" t="s">
        <v>76</v>
      </c>
      <c r="C39" s="27"/>
      <c r="D39" s="28"/>
      <c r="E39" s="22">
        <f>SUM(E40:E41)</f>
        <v>34695500</v>
      </c>
      <c r="F39" s="22">
        <f t="shared" ref="F39:N39" si="11">SUM(F40:F41)</f>
        <v>0</v>
      </c>
      <c r="G39" s="22">
        <f t="shared" si="11"/>
        <v>34695500</v>
      </c>
      <c r="H39" s="22">
        <f t="shared" si="11"/>
        <v>0.43626586020699254</v>
      </c>
      <c r="I39" s="22">
        <f t="shared" si="11"/>
        <v>26771500</v>
      </c>
      <c r="J39" s="22">
        <f t="shared" si="11"/>
        <v>150.88480490904018</v>
      </c>
      <c r="K39" s="22">
        <f t="shared" si="11"/>
        <v>175</v>
      </c>
      <c r="L39" s="22">
        <f t="shared" si="11"/>
        <v>0.38554966318108491</v>
      </c>
      <c r="M39" s="22">
        <f t="shared" si="11"/>
        <v>7924000</v>
      </c>
      <c r="N39" s="22">
        <f t="shared" si="11"/>
        <v>0</v>
      </c>
      <c r="O39" s="37"/>
      <c r="P39" s="38"/>
    </row>
    <row r="40" spans="1:16" ht="15.5" x14ac:dyDescent="0.35">
      <c r="A40" s="25" t="s">
        <v>77</v>
      </c>
      <c r="B40" s="39" t="s">
        <v>78</v>
      </c>
      <c r="C40" s="20"/>
      <c r="D40" s="21"/>
      <c r="E40" s="29">
        <v>18562000</v>
      </c>
      <c r="F40" s="30">
        <f t="shared" si="1"/>
        <v>0</v>
      </c>
      <c r="G40" s="30">
        <v>18562000</v>
      </c>
      <c r="H40" s="31">
        <f t="shared" si="5"/>
        <v>0.23340107210336197</v>
      </c>
      <c r="I40" s="32">
        <v>18562000</v>
      </c>
      <c r="J40" s="33">
        <f t="shared" si="2"/>
        <v>100</v>
      </c>
      <c r="K40" s="34">
        <v>100</v>
      </c>
      <c r="L40" s="35">
        <f t="shared" si="3"/>
        <v>0.23340107210336197</v>
      </c>
      <c r="M40" s="29">
        <f t="shared" ref="M40:M41" si="12">E40-I40</f>
        <v>0</v>
      </c>
      <c r="N40" s="30"/>
      <c r="O40" s="37"/>
      <c r="P40" s="38">
        <v>24</v>
      </c>
    </row>
    <row r="41" spans="1:16" ht="15.5" x14ac:dyDescent="0.35">
      <c r="A41" s="25" t="s">
        <v>79</v>
      </c>
      <c r="B41" s="39" t="s">
        <v>80</v>
      </c>
      <c r="C41" s="20"/>
      <c r="D41" s="21"/>
      <c r="E41" s="29">
        <v>16133500</v>
      </c>
      <c r="F41" s="30">
        <f t="shared" si="1"/>
        <v>0</v>
      </c>
      <c r="G41" s="30">
        <f>E41</f>
        <v>16133500</v>
      </c>
      <c r="H41" s="31">
        <f t="shared" si="5"/>
        <v>0.20286478810363057</v>
      </c>
      <c r="I41" s="32">
        <v>8209500</v>
      </c>
      <c r="J41" s="33">
        <f t="shared" si="2"/>
        <v>50.884804909040191</v>
      </c>
      <c r="K41" s="34">
        <f>0.75*100</f>
        <v>75</v>
      </c>
      <c r="L41" s="35">
        <f t="shared" si="3"/>
        <v>0.15214859107772294</v>
      </c>
      <c r="M41" s="29">
        <f t="shared" si="12"/>
        <v>7924000</v>
      </c>
      <c r="N41" s="30"/>
      <c r="O41" s="37"/>
      <c r="P41" s="38">
        <v>25</v>
      </c>
    </row>
    <row r="42" spans="1:16" ht="31" x14ac:dyDescent="0.35">
      <c r="A42" s="18" t="s">
        <v>81</v>
      </c>
      <c r="B42" s="42" t="s">
        <v>82</v>
      </c>
      <c r="C42" s="27"/>
      <c r="D42" s="28"/>
      <c r="E42" s="22">
        <f>E43</f>
        <v>184580000</v>
      </c>
      <c r="F42" s="22">
        <f t="shared" ref="F42:N42" si="13">F43</f>
        <v>0</v>
      </c>
      <c r="G42" s="22">
        <f t="shared" si="13"/>
        <v>184580000</v>
      </c>
      <c r="H42" s="22">
        <f t="shared" si="13"/>
        <v>2.3209336218531709</v>
      </c>
      <c r="I42" s="22">
        <f t="shared" si="13"/>
        <v>184580000</v>
      </c>
      <c r="J42" s="22">
        <f t="shared" si="13"/>
        <v>100</v>
      </c>
      <c r="K42" s="22">
        <f t="shared" si="13"/>
        <v>100</v>
      </c>
      <c r="L42" s="22">
        <f t="shared" si="13"/>
        <v>2.3209336218531709</v>
      </c>
      <c r="M42" s="22">
        <f t="shared" si="13"/>
        <v>0</v>
      </c>
      <c r="N42" s="22">
        <f t="shared" si="13"/>
        <v>0</v>
      </c>
      <c r="O42" s="37"/>
      <c r="P42" s="38"/>
    </row>
    <row r="43" spans="1:16" ht="15.5" x14ac:dyDescent="0.35">
      <c r="A43" s="25" t="s">
        <v>83</v>
      </c>
      <c r="B43" s="39" t="s">
        <v>84</v>
      </c>
      <c r="C43" s="27"/>
      <c r="D43" s="28"/>
      <c r="E43" s="29">
        <v>184580000</v>
      </c>
      <c r="F43" s="30">
        <f t="shared" si="1"/>
        <v>0</v>
      </c>
      <c r="G43" s="29">
        <v>184580000</v>
      </c>
      <c r="H43" s="31">
        <f t="shared" si="5"/>
        <v>2.3209336218531709</v>
      </c>
      <c r="I43" s="32">
        <v>184580000</v>
      </c>
      <c r="J43" s="33">
        <f t="shared" si="2"/>
        <v>100</v>
      </c>
      <c r="K43" s="34">
        <v>100</v>
      </c>
      <c r="L43" s="35">
        <f t="shared" ref="L43" si="14">K43*H43/100</f>
        <v>2.3209336218531709</v>
      </c>
      <c r="M43" s="29">
        <f t="shared" ref="M43" si="15">G43-I43</f>
        <v>0</v>
      </c>
      <c r="N43" s="30"/>
      <c r="O43" s="37"/>
      <c r="P43" s="38">
        <v>26</v>
      </c>
    </row>
    <row r="44" spans="1:16" ht="15.5" x14ac:dyDescent="0.35">
      <c r="A44" s="18" t="s">
        <v>85</v>
      </c>
      <c r="B44" s="432" t="s">
        <v>86</v>
      </c>
      <c r="C44" s="433"/>
      <c r="D44" s="434"/>
      <c r="E44" s="22">
        <f>SUM(E45:E48)</f>
        <v>116499000</v>
      </c>
      <c r="F44" s="22">
        <f t="shared" ref="F44:N44" si="16">SUM(F45:F48)</f>
        <v>7394000</v>
      </c>
      <c r="G44" s="22">
        <f t="shared" si="16"/>
        <v>123893000</v>
      </c>
      <c r="H44" s="22">
        <f t="shared" si="16"/>
        <v>1.5578471622724828</v>
      </c>
      <c r="I44" s="22">
        <f t="shared" si="16"/>
        <v>72790000</v>
      </c>
      <c r="J44" s="22">
        <f t="shared" si="16"/>
        <v>209.67737617359208</v>
      </c>
      <c r="K44" s="22">
        <f t="shared" si="16"/>
        <v>391.66666666666663</v>
      </c>
      <c r="L44" s="22">
        <f t="shared" si="16"/>
        <v>1.531396423922156</v>
      </c>
      <c r="M44" s="22">
        <f t="shared" si="16"/>
        <v>51103000</v>
      </c>
      <c r="N44" s="22">
        <f t="shared" si="16"/>
        <v>0</v>
      </c>
      <c r="O44" s="37"/>
      <c r="P44" s="38"/>
    </row>
    <row r="45" spans="1:16" ht="15.5" x14ac:dyDescent="0.35">
      <c r="A45" s="25" t="s">
        <v>87</v>
      </c>
      <c r="B45" s="39" t="s">
        <v>88</v>
      </c>
      <c r="C45" s="20"/>
      <c r="D45" s="21"/>
      <c r="E45" s="29">
        <v>52846000</v>
      </c>
      <c r="F45" s="30">
        <f t="shared" si="1"/>
        <v>7394000</v>
      </c>
      <c r="G45" s="30">
        <v>60240000</v>
      </c>
      <c r="H45" s="31">
        <f t="shared" si="5"/>
        <v>0.75746582175986021</v>
      </c>
      <c r="I45" s="32">
        <v>53040000</v>
      </c>
      <c r="J45" s="33">
        <f t="shared" si="2"/>
        <v>88.047808764940243</v>
      </c>
      <c r="K45" s="34">
        <v>100</v>
      </c>
      <c r="L45" s="35">
        <f t="shared" ref="L45:L48" si="17">K45*H45/100</f>
        <v>0.75746582175986021</v>
      </c>
      <c r="M45" s="29">
        <f t="shared" ref="M45:M48" si="18">G45-I45</f>
        <v>7200000</v>
      </c>
      <c r="N45" s="30"/>
      <c r="O45" s="37"/>
      <c r="P45" s="38">
        <v>27</v>
      </c>
    </row>
    <row r="46" spans="1:16" ht="15.5" x14ac:dyDescent="0.35">
      <c r="A46" s="25" t="s">
        <v>89</v>
      </c>
      <c r="B46" s="39" t="s">
        <v>90</v>
      </c>
      <c r="C46" s="40"/>
      <c r="D46" s="41"/>
      <c r="E46" s="29">
        <v>14600000</v>
      </c>
      <c r="F46" s="30">
        <f t="shared" si="1"/>
        <v>0</v>
      </c>
      <c r="G46" s="29">
        <v>14600000</v>
      </c>
      <c r="H46" s="31">
        <f t="shared" si="5"/>
        <v>0.18358235387938179</v>
      </c>
      <c r="I46" s="32">
        <v>14600000</v>
      </c>
      <c r="J46" s="33">
        <f t="shared" si="2"/>
        <v>100</v>
      </c>
      <c r="K46" s="34">
        <v>100</v>
      </c>
      <c r="L46" s="35">
        <f t="shared" si="17"/>
        <v>0.18358235387938179</v>
      </c>
      <c r="M46" s="29">
        <f t="shared" si="18"/>
        <v>0</v>
      </c>
      <c r="N46" s="30"/>
      <c r="O46" s="37"/>
      <c r="P46" s="38">
        <v>28</v>
      </c>
    </row>
    <row r="47" spans="1:16" ht="15.5" x14ac:dyDescent="0.35">
      <c r="A47" s="25" t="s">
        <v>91</v>
      </c>
      <c r="B47" s="39" t="s">
        <v>92</v>
      </c>
      <c r="C47" s="40"/>
      <c r="D47" s="41"/>
      <c r="E47" s="29">
        <v>25243000</v>
      </c>
      <c r="F47" s="30">
        <f t="shared" si="1"/>
        <v>0</v>
      </c>
      <c r="G47" s="29">
        <v>25243000</v>
      </c>
      <c r="H47" s="31">
        <f t="shared" si="5"/>
        <v>0.31740886020392017</v>
      </c>
      <c r="I47" s="32">
        <v>0</v>
      </c>
      <c r="J47" s="33">
        <f t="shared" si="2"/>
        <v>0</v>
      </c>
      <c r="K47" s="34">
        <f>11/12*100</f>
        <v>91.666666666666657</v>
      </c>
      <c r="L47" s="35">
        <f t="shared" si="17"/>
        <v>0.29095812185359349</v>
      </c>
      <c r="M47" s="29">
        <f t="shared" si="18"/>
        <v>25243000</v>
      </c>
      <c r="N47" s="30"/>
      <c r="O47" s="37"/>
      <c r="P47" s="38">
        <v>29</v>
      </c>
    </row>
    <row r="48" spans="1:16" ht="15.5" x14ac:dyDescent="0.35">
      <c r="A48" s="25" t="s">
        <v>93</v>
      </c>
      <c r="B48" s="406" t="s">
        <v>94</v>
      </c>
      <c r="C48" s="407"/>
      <c r="D48" s="408"/>
      <c r="E48" s="29">
        <v>23810000</v>
      </c>
      <c r="F48" s="30">
        <f t="shared" si="1"/>
        <v>0</v>
      </c>
      <c r="G48" s="29">
        <v>23810000</v>
      </c>
      <c r="H48" s="31">
        <f t="shared" si="5"/>
        <v>0.29939012642932056</v>
      </c>
      <c r="I48" s="32">
        <v>5150000</v>
      </c>
      <c r="J48" s="33">
        <f t="shared" si="2"/>
        <v>21.629567408651827</v>
      </c>
      <c r="K48" s="34">
        <v>100</v>
      </c>
      <c r="L48" s="35">
        <f t="shared" si="17"/>
        <v>0.29939012642932056</v>
      </c>
      <c r="M48" s="29">
        <f t="shared" si="18"/>
        <v>18660000</v>
      </c>
      <c r="N48" s="30"/>
      <c r="O48" s="37"/>
      <c r="P48" s="38">
        <v>30</v>
      </c>
    </row>
    <row r="49" spans="1:21" ht="15.5" x14ac:dyDescent="0.35">
      <c r="A49" s="18" t="s">
        <v>95</v>
      </c>
      <c r="B49" s="42" t="s">
        <v>96</v>
      </c>
      <c r="C49" s="20"/>
      <c r="D49" s="21"/>
      <c r="E49" s="22">
        <f>SUM(E50:E52)</f>
        <v>26757000</v>
      </c>
      <c r="F49" s="22">
        <f t="shared" ref="F49:N49" si="19">SUM(F50:F52)</f>
        <v>450000</v>
      </c>
      <c r="G49" s="22">
        <f t="shared" si="19"/>
        <v>27207000</v>
      </c>
      <c r="H49" s="22">
        <f t="shared" si="19"/>
        <v>0.34210445904084524</v>
      </c>
      <c r="I49" s="22">
        <f t="shared" si="19"/>
        <v>17222000</v>
      </c>
      <c r="J49" s="22">
        <f t="shared" si="19"/>
        <v>188.47239572234497</v>
      </c>
      <c r="K49" s="22">
        <f t="shared" si="19"/>
        <v>300</v>
      </c>
      <c r="L49" s="22">
        <f t="shared" si="19"/>
        <v>0.34210445904084524</v>
      </c>
      <c r="M49" s="22">
        <f t="shared" si="19"/>
        <v>9985000</v>
      </c>
      <c r="N49" s="22">
        <f t="shared" si="19"/>
        <v>0</v>
      </c>
      <c r="O49" s="37"/>
      <c r="P49" s="38"/>
    </row>
    <row r="50" spans="1:21" ht="15.5" x14ac:dyDescent="0.35">
      <c r="A50" s="25" t="s">
        <v>97</v>
      </c>
      <c r="B50" s="39" t="s">
        <v>98</v>
      </c>
      <c r="C50" s="20"/>
      <c r="D50" s="21"/>
      <c r="E50" s="29">
        <v>10695000</v>
      </c>
      <c r="F50" s="30">
        <f t="shared" si="1"/>
        <v>0</v>
      </c>
      <c r="G50" s="29">
        <v>10695000</v>
      </c>
      <c r="H50" s="31">
        <f t="shared" si="5"/>
        <v>0.13448036128356083</v>
      </c>
      <c r="I50" s="32">
        <v>7420000</v>
      </c>
      <c r="J50" s="33">
        <f t="shared" si="2"/>
        <v>69.378214118747081</v>
      </c>
      <c r="K50" s="34">
        <v>100</v>
      </c>
      <c r="L50" s="35">
        <f t="shared" ref="L50:L52" si="20">K50*H50/100</f>
        <v>0.13448036128356083</v>
      </c>
      <c r="M50" s="29">
        <f t="shared" ref="M50:M52" si="21">G50-I50</f>
        <v>3275000</v>
      </c>
      <c r="N50" s="30"/>
      <c r="O50" s="37"/>
      <c r="P50" s="38">
        <v>31</v>
      </c>
    </row>
    <row r="51" spans="1:21" ht="15.5" x14ac:dyDescent="0.35">
      <c r="A51" s="25" t="s">
        <v>99</v>
      </c>
      <c r="B51" s="39" t="s">
        <v>100</v>
      </c>
      <c r="C51" s="20"/>
      <c r="D51" s="21"/>
      <c r="E51" s="29">
        <v>8972000</v>
      </c>
      <c r="F51" s="30">
        <f t="shared" si="1"/>
        <v>0</v>
      </c>
      <c r="G51" s="29">
        <v>8972000</v>
      </c>
      <c r="H51" s="31">
        <f t="shared" si="5"/>
        <v>0.11281512869902831</v>
      </c>
      <c r="I51" s="32">
        <v>5152000</v>
      </c>
      <c r="J51" s="33">
        <f t="shared" si="2"/>
        <v>57.423094070441373</v>
      </c>
      <c r="K51" s="34">
        <v>100</v>
      </c>
      <c r="L51" s="35">
        <f t="shared" si="20"/>
        <v>0.11281512869902829</v>
      </c>
      <c r="M51" s="29">
        <f t="shared" si="21"/>
        <v>3820000</v>
      </c>
      <c r="N51" s="30"/>
      <c r="O51" s="37"/>
      <c r="P51" s="38">
        <v>32</v>
      </c>
    </row>
    <row r="52" spans="1:21" ht="15.5" x14ac:dyDescent="0.35">
      <c r="A52" s="25" t="s">
        <v>101</v>
      </c>
      <c r="B52" s="39" t="s">
        <v>102</v>
      </c>
      <c r="C52" s="20"/>
      <c r="D52" s="21"/>
      <c r="E52" s="29">
        <v>7090000</v>
      </c>
      <c r="F52" s="30">
        <f t="shared" si="1"/>
        <v>450000</v>
      </c>
      <c r="G52" s="30">
        <v>7540000</v>
      </c>
      <c r="H52" s="31">
        <f t="shared" si="5"/>
        <v>9.4808969058256087E-2</v>
      </c>
      <c r="I52" s="32">
        <v>4650000</v>
      </c>
      <c r="J52" s="33">
        <f t="shared" si="2"/>
        <v>61.671087533156502</v>
      </c>
      <c r="K52" s="34">
        <v>100</v>
      </c>
      <c r="L52" s="35">
        <f t="shared" si="20"/>
        <v>9.4808969058256101E-2</v>
      </c>
      <c r="M52" s="29">
        <f t="shared" si="21"/>
        <v>2890000</v>
      </c>
      <c r="N52" s="30"/>
      <c r="O52" s="37"/>
      <c r="P52" s="38">
        <v>33</v>
      </c>
    </row>
    <row r="53" spans="1:21" ht="15.5" x14ac:dyDescent="0.35">
      <c r="A53" s="18" t="s">
        <v>103</v>
      </c>
      <c r="B53" s="42" t="s">
        <v>104</v>
      </c>
      <c r="C53" s="27"/>
      <c r="D53" s="28"/>
      <c r="E53" s="22">
        <f>E54</f>
        <v>43788000</v>
      </c>
      <c r="F53" s="22">
        <f t="shared" ref="F53:N53" si="22">F54</f>
        <v>3697000</v>
      </c>
      <c r="G53" s="22">
        <f t="shared" si="22"/>
        <v>47485000</v>
      </c>
      <c r="H53" s="22">
        <f t="shared" si="22"/>
        <v>0.59708274479194823</v>
      </c>
      <c r="I53" s="22">
        <f t="shared" si="22"/>
        <v>43524200</v>
      </c>
      <c r="J53" s="22">
        <f t="shared" si="22"/>
        <v>91.658839633568505</v>
      </c>
      <c r="K53" s="22">
        <f t="shared" si="22"/>
        <v>91.666666666666657</v>
      </c>
      <c r="L53" s="22">
        <f t="shared" si="22"/>
        <v>0.54732584939261908</v>
      </c>
      <c r="M53" s="22">
        <f t="shared" si="22"/>
        <v>3960800</v>
      </c>
      <c r="N53" s="22">
        <f t="shared" si="22"/>
        <v>0</v>
      </c>
      <c r="O53" s="37"/>
      <c r="P53" s="38"/>
    </row>
    <row r="54" spans="1:21" ht="15.5" x14ac:dyDescent="0.35">
      <c r="A54" s="25" t="s">
        <v>105</v>
      </c>
      <c r="B54" s="39" t="s">
        <v>106</v>
      </c>
      <c r="C54" s="27"/>
      <c r="D54" s="28"/>
      <c r="E54" s="29">
        <v>43788000</v>
      </c>
      <c r="F54" s="30">
        <f t="shared" si="1"/>
        <v>3697000</v>
      </c>
      <c r="G54" s="30">
        <v>47485000</v>
      </c>
      <c r="H54" s="31">
        <f t="shared" si="5"/>
        <v>0.59708274479194823</v>
      </c>
      <c r="I54" s="43">
        <v>43524200</v>
      </c>
      <c r="J54" s="33">
        <f t="shared" si="2"/>
        <v>91.658839633568505</v>
      </c>
      <c r="K54" s="34">
        <f>11/12*100</f>
        <v>91.666666666666657</v>
      </c>
      <c r="L54" s="35">
        <f t="shared" ref="L54" si="23">K54*H54/100</f>
        <v>0.54732584939261908</v>
      </c>
      <c r="M54" s="29">
        <f t="shared" ref="M54" si="24">G54-I54</f>
        <v>3960800</v>
      </c>
      <c r="N54" s="30"/>
      <c r="O54" s="37"/>
      <c r="P54" s="38">
        <v>34</v>
      </c>
    </row>
    <row r="55" spans="1:21" ht="54" customHeight="1" x14ac:dyDescent="0.35">
      <c r="A55" s="18" t="s">
        <v>107</v>
      </c>
      <c r="B55" s="432" t="s">
        <v>108</v>
      </c>
      <c r="C55" s="433"/>
      <c r="D55" s="434"/>
      <c r="E55" s="44">
        <f>SUM(E56)</f>
        <v>218843000</v>
      </c>
      <c r="F55" s="44">
        <f t="shared" ref="F55:N55" si="25">SUM(F56)</f>
        <v>0</v>
      </c>
      <c r="G55" s="44">
        <f t="shared" si="25"/>
        <v>218843000</v>
      </c>
      <c r="H55" s="44">
        <f t="shared" si="25"/>
        <v>2.751761169179832</v>
      </c>
      <c r="I55" s="44">
        <f t="shared" si="25"/>
        <v>218843000</v>
      </c>
      <c r="J55" s="44">
        <f t="shared" si="25"/>
        <v>100</v>
      </c>
      <c r="K55" s="44">
        <f t="shared" si="25"/>
        <v>100</v>
      </c>
      <c r="L55" s="44">
        <f t="shared" si="25"/>
        <v>2.751761169179832</v>
      </c>
      <c r="M55" s="44">
        <f t="shared" si="25"/>
        <v>0</v>
      </c>
      <c r="N55" s="44">
        <f t="shared" si="25"/>
        <v>0</v>
      </c>
      <c r="O55" s="37"/>
      <c r="P55" s="38"/>
      <c r="T55" t="s">
        <v>149</v>
      </c>
      <c r="U55" t="s">
        <v>150</v>
      </c>
    </row>
    <row r="56" spans="1:21" ht="15.5" x14ac:dyDescent="0.35">
      <c r="A56" s="25" t="s">
        <v>109</v>
      </c>
      <c r="B56" s="39" t="s">
        <v>110</v>
      </c>
      <c r="C56" s="40"/>
      <c r="D56" s="41"/>
      <c r="E56" s="29">
        <v>218843000</v>
      </c>
      <c r="F56" s="30">
        <f t="shared" si="1"/>
        <v>0</v>
      </c>
      <c r="G56" s="29">
        <v>218843000</v>
      </c>
      <c r="H56" s="31">
        <f t="shared" si="5"/>
        <v>2.751761169179832</v>
      </c>
      <c r="I56" s="32">
        <v>218843000</v>
      </c>
      <c r="J56" s="33">
        <f t="shared" si="2"/>
        <v>100</v>
      </c>
      <c r="K56" s="34">
        <v>100</v>
      </c>
      <c r="L56" s="35">
        <f t="shared" ref="L56" si="26">K56*H56/100</f>
        <v>2.751761169179832</v>
      </c>
      <c r="M56" s="29">
        <f t="shared" ref="M56" si="27">G56-I56</f>
        <v>0</v>
      </c>
      <c r="N56" s="30"/>
      <c r="O56" s="37"/>
      <c r="P56" s="38">
        <v>35</v>
      </c>
    </row>
    <row r="57" spans="1:21" ht="15.5" x14ac:dyDescent="0.35">
      <c r="A57" s="18" t="s">
        <v>111</v>
      </c>
      <c r="B57" s="42" t="s">
        <v>112</v>
      </c>
      <c r="C57" s="40"/>
      <c r="D57" s="41"/>
      <c r="E57" s="22">
        <f>E58</f>
        <v>5135873000</v>
      </c>
      <c r="F57" s="22">
        <f t="shared" ref="F57:N57" si="28">F58</f>
        <v>-29201000</v>
      </c>
      <c r="G57" s="22">
        <f t="shared" si="28"/>
        <v>5106672000</v>
      </c>
      <c r="H57" s="22">
        <f t="shared" si="28"/>
        <v>64.211977140406191</v>
      </c>
      <c r="I57" s="22">
        <f t="shared" si="28"/>
        <v>4099884000</v>
      </c>
      <c r="J57" s="22">
        <f t="shared" si="28"/>
        <v>80.284850877440334</v>
      </c>
      <c r="K57" s="22">
        <f t="shared" si="28"/>
        <v>90</v>
      </c>
      <c r="L57" s="22">
        <f t="shared" si="28"/>
        <v>57.790779426365567</v>
      </c>
      <c r="M57" s="22">
        <f t="shared" si="28"/>
        <v>1006788000</v>
      </c>
      <c r="N57" s="22">
        <f t="shared" si="28"/>
        <v>0</v>
      </c>
      <c r="O57" s="37"/>
      <c r="P57" s="38"/>
    </row>
    <row r="58" spans="1:21" ht="15.5" x14ac:dyDescent="0.35">
      <c r="A58" s="25" t="s">
        <v>113</v>
      </c>
      <c r="B58" s="39" t="s">
        <v>114</v>
      </c>
      <c r="C58" s="40"/>
      <c r="D58" s="41"/>
      <c r="E58" s="29">
        <v>5135873000</v>
      </c>
      <c r="F58" s="30">
        <f t="shared" si="1"/>
        <v>-29201000</v>
      </c>
      <c r="G58" s="30">
        <v>5106672000</v>
      </c>
      <c r="H58" s="31">
        <f t="shared" si="5"/>
        <v>64.211977140406191</v>
      </c>
      <c r="I58" s="32">
        <v>4099884000</v>
      </c>
      <c r="J58" s="33">
        <f t="shared" si="2"/>
        <v>80.284850877440334</v>
      </c>
      <c r="K58" s="34">
        <f>0.9*100</f>
        <v>90</v>
      </c>
      <c r="L58" s="35">
        <f t="shared" ref="L58" si="29">K58*H58/100</f>
        <v>57.790779426365567</v>
      </c>
      <c r="M58" s="29">
        <f t="shared" ref="M58" si="30">G58-I58</f>
        <v>1006788000</v>
      </c>
      <c r="N58" s="30"/>
      <c r="O58" s="37"/>
      <c r="P58" s="38">
        <v>36</v>
      </c>
    </row>
    <row r="59" spans="1:21" ht="31.5" customHeight="1" x14ac:dyDescent="0.35">
      <c r="A59" s="18" t="s">
        <v>115</v>
      </c>
      <c r="B59" s="432" t="s">
        <v>116</v>
      </c>
      <c r="C59" s="433"/>
      <c r="D59" s="434"/>
      <c r="E59" s="22">
        <f>E60</f>
        <v>142377375</v>
      </c>
      <c r="F59" s="22">
        <f t="shared" ref="F59:N59" si="31">F60</f>
        <v>-647000</v>
      </c>
      <c r="G59" s="22">
        <f t="shared" si="31"/>
        <v>141730375</v>
      </c>
      <c r="H59" s="22">
        <f t="shared" si="31"/>
        <v>1.7821367026511978</v>
      </c>
      <c r="I59" s="22">
        <f t="shared" si="31"/>
        <v>8940000</v>
      </c>
      <c r="J59" s="22">
        <f t="shared" si="31"/>
        <v>6.3077516022941458</v>
      </c>
      <c r="K59" s="22">
        <f t="shared" si="31"/>
        <v>100</v>
      </c>
      <c r="L59" s="22">
        <f t="shared" si="31"/>
        <v>1.7821367026511978</v>
      </c>
      <c r="M59" s="22">
        <f t="shared" si="31"/>
        <v>132790375</v>
      </c>
      <c r="N59" s="22">
        <f t="shared" si="31"/>
        <v>0</v>
      </c>
      <c r="O59" s="37"/>
      <c r="P59" s="38"/>
    </row>
    <row r="60" spans="1:21" ht="19.5" customHeight="1" x14ac:dyDescent="0.35">
      <c r="A60" s="25" t="s">
        <v>117</v>
      </c>
      <c r="B60" s="406" t="s">
        <v>118</v>
      </c>
      <c r="C60" s="407"/>
      <c r="D60" s="408"/>
      <c r="E60" s="29">
        <v>142377375</v>
      </c>
      <c r="F60" s="30">
        <f t="shared" si="1"/>
        <v>-647000</v>
      </c>
      <c r="G60" s="30">
        <v>141730375</v>
      </c>
      <c r="H60" s="31">
        <f t="shared" si="5"/>
        <v>1.7821367026511978</v>
      </c>
      <c r="I60" s="32">
        <v>8940000</v>
      </c>
      <c r="J60" s="33">
        <f t="shared" si="2"/>
        <v>6.3077516022941458</v>
      </c>
      <c r="K60" s="34">
        <v>100</v>
      </c>
      <c r="L60" s="35">
        <f t="shared" ref="L60" si="32">K60*H60/100</f>
        <v>1.7821367026511978</v>
      </c>
      <c r="M60" s="29">
        <f t="shared" ref="M60" si="33">G60-I60</f>
        <v>132790375</v>
      </c>
      <c r="N60" s="30"/>
      <c r="O60" s="37"/>
      <c r="P60" s="38">
        <v>37</v>
      </c>
    </row>
    <row r="61" spans="1:21" ht="15.5" x14ac:dyDescent="0.35">
      <c r="A61" s="18" t="s">
        <v>119</v>
      </c>
      <c r="B61" s="42" t="s">
        <v>120</v>
      </c>
      <c r="C61" s="27"/>
      <c r="D61" s="28"/>
      <c r="E61" s="22">
        <f>E62</f>
        <v>261470000</v>
      </c>
      <c r="F61" s="22">
        <f t="shared" ref="F61:N61" si="34">F62</f>
        <v>0</v>
      </c>
      <c r="G61" s="22">
        <f t="shared" si="34"/>
        <v>261470000</v>
      </c>
      <c r="H61" s="22">
        <f t="shared" si="34"/>
        <v>3.2877587718384902</v>
      </c>
      <c r="I61" s="22">
        <f t="shared" si="34"/>
        <v>261470000</v>
      </c>
      <c r="J61" s="22">
        <f t="shared" si="34"/>
        <v>100</v>
      </c>
      <c r="K61" s="22">
        <f t="shared" si="34"/>
        <v>100</v>
      </c>
      <c r="L61" s="22">
        <f t="shared" si="34"/>
        <v>3.2877587718384906</v>
      </c>
      <c r="M61" s="22">
        <f t="shared" si="34"/>
        <v>0</v>
      </c>
      <c r="N61" s="22">
        <f t="shared" si="34"/>
        <v>0</v>
      </c>
      <c r="O61" s="37"/>
      <c r="P61" s="38"/>
    </row>
    <row r="62" spans="1:21" ht="15.5" x14ac:dyDescent="0.35">
      <c r="A62" s="25" t="s">
        <v>121</v>
      </c>
      <c r="B62" s="39" t="s">
        <v>122</v>
      </c>
      <c r="C62" s="27"/>
      <c r="D62" s="28"/>
      <c r="E62" s="29">
        <v>261470000</v>
      </c>
      <c r="F62" s="30">
        <f t="shared" si="1"/>
        <v>0</v>
      </c>
      <c r="G62" s="29">
        <v>261470000</v>
      </c>
      <c r="H62" s="31">
        <f t="shared" si="5"/>
        <v>3.2877587718384902</v>
      </c>
      <c r="I62" s="32">
        <v>261470000</v>
      </c>
      <c r="J62" s="33">
        <f t="shared" si="2"/>
        <v>100</v>
      </c>
      <c r="K62" s="34">
        <v>100</v>
      </c>
      <c r="L62" s="35">
        <f t="shared" ref="L62" si="35">K62*H62/100</f>
        <v>3.2877587718384906</v>
      </c>
      <c r="M62" s="29">
        <f t="shared" ref="M62" si="36">G62-I62</f>
        <v>0</v>
      </c>
      <c r="N62" s="30"/>
      <c r="O62" s="37"/>
      <c r="P62" s="38">
        <v>38</v>
      </c>
    </row>
    <row r="63" spans="1:21" ht="31.5" customHeight="1" x14ac:dyDescent="0.35">
      <c r="A63" s="18" t="s">
        <v>123</v>
      </c>
      <c r="B63" s="432" t="s">
        <v>124</v>
      </c>
      <c r="C63" s="433"/>
      <c r="D63" s="434"/>
      <c r="E63" s="22">
        <f>E64</f>
        <v>5071000</v>
      </c>
      <c r="F63" s="22">
        <f t="shared" ref="F63:N63" si="37">F64</f>
        <v>0</v>
      </c>
      <c r="G63" s="22">
        <f t="shared" si="37"/>
        <v>5071000</v>
      </c>
      <c r="H63" s="22">
        <f t="shared" si="37"/>
        <v>6.376343263851679E-2</v>
      </c>
      <c r="I63" s="22">
        <f t="shared" si="37"/>
        <v>4460800</v>
      </c>
      <c r="J63" s="22">
        <f t="shared" si="37"/>
        <v>87.966870439755468</v>
      </c>
      <c r="K63" s="22">
        <f t="shared" si="37"/>
        <v>95</v>
      </c>
      <c r="L63" s="22">
        <f t="shared" si="37"/>
        <v>6.0575261006590955E-2</v>
      </c>
      <c r="M63" s="22">
        <f t="shared" si="37"/>
        <v>610200</v>
      </c>
      <c r="N63" s="22">
        <f t="shared" si="37"/>
        <v>0</v>
      </c>
      <c r="O63" s="37"/>
      <c r="P63" s="38"/>
    </row>
    <row r="64" spans="1:21" ht="15.5" x14ac:dyDescent="0.35">
      <c r="A64" s="25" t="s">
        <v>125</v>
      </c>
      <c r="B64" s="406" t="s">
        <v>126</v>
      </c>
      <c r="C64" s="407"/>
      <c r="D64" s="408"/>
      <c r="E64" s="29">
        <v>5071000</v>
      </c>
      <c r="F64" s="30">
        <f t="shared" si="1"/>
        <v>0</v>
      </c>
      <c r="G64" s="29">
        <v>5071000</v>
      </c>
      <c r="H64" s="31">
        <f t="shared" si="5"/>
        <v>6.376343263851679E-2</v>
      </c>
      <c r="I64" s="43">
        <v>4460800</v>
      </c>
      <c r="J64" s="33">
        <f t="shared" si="2"/>
        <v>87.966870439755468</v>
      </c>
      <c r="K64" s="34">
        <f>0.95*100</f>
        <v>95</v>
      </c>
      <c r="L64" s="35">
        <f t="shared" ref="L64" si="38">K64*H64/100</f>
        <v>6.0575261006590955E-2</v>
      </c>
      <c r="M64" s="29">
        <f t="shared" ref="M64" si="39">G64-I64</f>
        <v>610200</v>
      </c>
      <c r="N64" s="30"/>
      <c r="O64" s="37"/>
      <c r="P64" s="38">
        <v>39</v>
      </c>
    </row>
    <row r="65" spans="1:18" ht="15.5" x14ac:dyDescent="0.35">
      <c r="A65" s="18" t="s">
        <v>127</v>
      </c>
      <c r="B65" s="432" t="s">
        <v>128</v>
      </c>
      <c r="C65" s="433"/>
      <c r="D65" s="434"/>
      <c r="E65" s="22">
        <f>SUM(E66:E71)</f>
        <v>160126000</v>
      </c>
      <c r="F65" s="22">
        <f t="shared" ref="F65:N65" si="40">SUM(F66:F71)</f>
        <v>0</v>
      </c>
      <c r="G65" s="22">
        <f t="shared" si="40"/>
        <v>160126000</v>
      </c>
      <c r="H65" s="22">
        <f t="shared" si="40"/>
        <v>2.0134457532390333</v>
      </c>
      <c r="I65" s="22">
        <f t="shared" si="40"/>
        <v>140321500</v>
      </c>
      <c r="J65" s="22">
        <f t="shared" si="40"/>
        <v>488.76137656427761</v>
      </c>
      <c r="K65" s="22">
        <f t="shared" si="40"/>
        <v>590</v>
      </c>
      <c r="L65" s="22">
        <f t="shared" si="40"/>
        <v>2.0034493168462864</v>
      </c>
      <c r="M65" s="22">
        <f t="shared" si="40"/>
        <v>19804500</v>
      </c>
      <c r="N65" s="22">
        <f t="shared" si="40"/>
        <v>0</v>
      </c>
      <c r="O65" s="37"/>
      <c r="P65" s="38"/>
    </row>
    <row r="66" spans="1:18" ht="15.5" x14ac:dyDescent="0.35">
      <c r="A66" s="25" t="s">
        <v>129</v>
      </c>
      <c r="B66" s="39" t="s">
        <v>130</v>
      </c>
      <c r="C66" s="27"/>
      <c r="D66" s="28"/>
      <c r="E66" s="29">
        <v>105480000</v>
      </c>
      <c r="F66" s="30">
        <f t="shared" si="1"/>
        <v>0</v>
      </c>
      <c r="G66" s="29">
        <v>105480000</v>
      </c>
      <c r="H66" s="31">
        <f t="shared" si="5"/>
        <v>1.3263196361093967</v>
      </c>
      <c r="I66" s="32">
        <v>93625500</v>
      </c>
      <c r="J66" s="33">
        <f t="shared" si="2"/>
        <v>88.761376564277583</v>
      </c>
      <c r="K66" s="34">
        <v>100</v>
      </c>
      <c r="L66" s="35">
        <f t="shared" ref="L66:L71" si="41">K66*H66/100</f>
        <v>1.3263196361093967</v>
      </c>
      <c r="M66" s="29">
        <f t="shared" ref="M66:M71" si="42">G66-I66</f>
        <v>11854500</v>
      </c>
      <c r="N66" s="30"/>
      <c r="O66" s="37"/>
      <c r="P66" s="38">
        <v>40</v>
      </c>
    </row>
    <row r="67" spans="1:18" ht="15.5" x14ac:dyDescent="0.35">
      <c r="A67" s="25" t="s">
        <v>131</v>
      </c>
      <c r="B67" s="39" t="s">
        <v>132</v>
      </c>
      <c r="C67" s="27"/>
      <c r="D67" s="28"/>
      <c r="E67" s="29">
        <v>18300000</v>
      </c>
      <c r="F67" s="30">
        <f t="shared" si="1"/>
        <v>0</v>
      </c>
      <c r="G67" s="29">
        <v>18300000</v>
      </c>
      <c r="H67" s="31">
        <f t="shared" si="5"/>
        <v>0.230106649040595</v>
      </c>
      <c r="I67" s="32">
        <v>18300000</v>
      </c>
      <c r="J67" s="33">
        <f t="shared" si="2"/>
        <v>100</v>
      </c>
      <c r="K67" s="34">
        <v>100</v>
      </c>
      <c r="L67" s="35">
        <f t="shared" si="41"/>
        <v>0.230106649040595</v>
      </c>
      <c r="M67" s="29">
        <f t="shared" si="42"/>
        <v>0</v>
      </c>
      <c r="N67" s="30"/>
      <c r="O67" s="37"/>
      <c r="P67" s="38">
        <v>41</v>
      </c>
    </row>
    <row r="68" spans="1:18" ht="15.5" x14ac:dyDescent="0.35">
      <c r="A68" s="25" t="s">
        <v>133</v>
      </c>
      <c r="B68" s="39" t="s">
        <v>134</v>
      </c>
      <c r="C68" s="27"/>
      <c r="D68" s="28"/>
      <c r="E68" s="29">
        <v>15166000</v>
      </c>
      <c r="F68" s="30">
        <f t="shared" si="1"/>
        <v>0</v>
      </c>
      <c r="G68" s="29">
        <v>15166000</v>
      </c>
      <c r="H68" s="31">
        <f t="shared" si="5"/>
        <v>0.19069931362566467</v>
      </c>
      <c r="I68" s="32">
        <v>15166000</v>
      </c>
      <c r="J68" s="33">
        <f t="shared" si="2"/>
        <v>100</v>
      </c>
      <c r="K68" s="34">
        <v>100</v>
      </c>
      <c r="L68" s="35">
        <f t="shared" si="41"/>
        <v>0.19069931362566467</v>
      </c>
      <c r="M68" s="29">
        <f t="shared" si="42"/>
        <v>0</v>
      </c>
      <c r="N68" s="30"/>
      <c r="O68" s="37"/>
      <c r="P68" s="38">
        <v>42</v>
      </c>
    </row>
    <row r="69" spans="1:18" ht="15.5" x14ac:dyDescent="0.35">
      <c r="A69" s="25" t="s">
        <v>135</v>
      </c>
      <c r="B69" s="39" t="s">
        <v>136</v>
      </c>
      <c r="C69" s="27"/>
      <c r="D69" s="28"/>
      <c r="E69" s="29">
        <v>3450000</v>
      </c>
      <c r="F69" s="30">
        <f t="shared" si="1"/>
        <v>0</v>
      </c>
      <c r="G69" s="29">
        <v>3450000</v>
      </c>
      <c r="H69" s="31">
        <f t="shared" si="5"/>
        <v>4.3380761704374465E-2</v>
      </c>
      <c r="I69" s="32">
        <v>3450000</v>
      </c>
      <c r="J69" s="33">
        <f t="shared" si="2"/>
        <v>100</v>
      </c>
      <c r="K69" s="34">
        <v>100</v>
      </c>
      <c r="L69" s="35">
        <f t="shared" si="41"/>
        <v>4.3380761704374465E-2</v>
      </c>
      <c r="M69" s="29">
        <f t="shared" si="42"/>
        <v>0</v>
      </c>
      <c r="N69" s="30"/>
      <c r="O69" s="37"/>
      <c r="P69" s="38">
        <v>43</v>
      </c>
    </row>
    <row r="70" spans="1:18" ht="15.5" x14ac:dyDescent="0.35">
      <c r="A70" s="25" t="s">
        <v>137</v>
      </c>
      <c r="B70" s="39" t="s">
        <v>138</v>
      </c>
      <c r="C70" s="27"/>
      <c r="D70" s="28"/>
      <c r="E70" s="29">
        <v>9780000</v>
      </c>
      <c r="F70" s="30">
        <f t="shared" si="1"/>
        <v>0</v>
      </c>
      <c r="G70" s="29">
        <v>9780000</v>
      </c>
      <c r="H70" s="31">
        <f t="shared" si="5"/>
        <v>0.12297502883153108</v>
      </c>
      <c r="I70" s="32">
        <v>9780000</v>
      </c>
      <c r="J70" s="33">
        <f t="shared" si="2"/>
        <v>100</v>
      </c>
      <c r="K70" s="34">
        <v>100</v>
      </c>
      <c r="L70" s="35">
        <f t="shared" si="41"/>
        <v>0.12297502883153108</v>
      </c>
      <c r="M70" s="29">
        <f t="shared" si="42"/>
        <v>0</v>
      </c>
      <c r="N70" s="30"/>
      <c r="O70" s="37"/>
      <c r="P70" s="38">
        <v>44</v>
      </c>
    </row>
    <row r="71" spans="1:18" ht="15.5" x14ac:dyDescent="0.35">
      <c r="A71" s="25" t="s">
        <v>139</v>
      </c>
      <c r="B71" s="39" t="s">
        <v>140</v>
      </c>
      <c r="C71" s="27"/>
      <c r="D71" s="28"/>
      <c r="E71" s="29">
        <v>7950000</v>
      </c>
      <c r="F71" s="30">
        <f t="shared" si="1"/>
        <v>0</v>
      </c>
      <c r="G71" s="29">
        <v>7950000</v>
      </c>
      <c r="H71" s="31">
        <f t="shared" si="5"/>
        <v>9.99643639274716E-2</v>
      </c>
      <c r="I71" s="32">
        <v>0</v>
      </c>
      <c r="J71" s="33">
        <f t="shared" si="2"/>
        <v>0</v>
      </c>
      <c r="K71" s="34">
        <f>0.9*100</f>
        <v>90</v>
      </c>
      <c r="L71" s="35">
        <f t="shared" si="41"/>
        <v>8.9967927534724448E-2</v>
      </c>
      <c r="M71" s="29">
        <f t="shared" si="42"/>
        <v>7950000</v>
      </c>
      <c r="N71" s="30"/>
      <c r="O71" s="37"/>
      <c r="P71" s="38">
        <v>45</v>
      </c>
    </row>
    <row r="72" spans="1:18" ht="15.5" x14ac:dyDescent="0.35">
      <c r="A72" s="18" t="s">
        <v>141</v>
      </c>
      <c r="B72" s="432" t="s">
        <v>142</v>
      </c>
      <c r="C72" s="433"/>
      <c r="D72" s="434"/>
      <c r="E72" s="22">
        <f>E73</f>
        <v>23544800</v>
      </c>
      <c r="F72" s="22">
        <f t="shared" ref="F72:N72" si="43">F73</f>
        <v>0</v>
      </c>
      <c r="G72" s="22">
        <f t="shared" si="43"/>
        <v>23544800</v>
      </c>
      <c r="H72" s="22">
        <f t="shared" si="43"/>
        <v>0.29605546613830608</v>
      </c>
      <c r="I72" s="22">
        <f t="shared" si="43"/>
        <v>22870000</v>
      </c>
      <c r="J72" s="22">
        <f t="shared" si="43"/>
        <v>97.133974380754978</v>
      </c>
      <c r="K72" s="22">
        <f t="shared" si="43"/>
        <v>100</v>
      </c>
      <c r="L72" s="22">
        <f t="shared" si="43"/>
        <v>0.29605546613830608</v>
      </c>
      <c r="M72" s="22">
        <f t="shared" si="43"/>
        <v>674800</v>
      </c>
      <c r="N72" s="22">
        <f t="shared" si="43"/>
        <v>0</v>
      </c>
      <c r="O72" s="37"/>
      <c r="P72" s="38"/>
      <c r="R72">
        <v>18</v>
      </c>
    </row>
    <row r="73" spans="1:18" ht="15.5" x14ac:dyDescent="0.35">
      <c r="A73" s="45" t="s">
        <v>143</v>
      </c>
      <c r="B73" s="46" t="s">
        <v>144</v>
      </c>
      <c r="C73" s="47"/>
      <c r="D73" s="48"/>
      <c r="E73" s="49">
        <v>23544800</v>
      </c>
      <c r="F73" s="50">
        <f t="shared" si="1"/>
        <v>0</v>
      </c>
      <c r="G73" s="49">
        <v>23544800</v>
      </c>
      <c r="H73" s="51">
        <f t="shared" si="5"/>
        <v>0.29605546613830608</v>
      </c>
      <c r="I73" s="52">
        <v>22870000</v>
      </c>
      <c r="J73" s="53">
        <f t="shared" si="2"/>
        <v>97.133974380754978</v>
      </c>
      <c r="K73" s="54">
        <v>100</v>
      </c>
      <c r="L73" s="55">
        <f t="shared" ref="L73" si="44">K73*H73/100</f>
        <v>0.29605546613830608</v>
      </c>
      <c r="M73" s="49">
        <f t="shared" ref="M73" si="45">G73-I73</f>
        <v>674800</v>
      </c>
      <c r="N73" s="50"/>
      <c r="O73" s="37"/>
      <c r="P73" s="38">
        <v>46</v>
      </c>
    </row>
    <row r="74" spans="1:18" ht="15.5" x14ac:dyDescent="0.35">
      <c r="A74" s="438" t="s">
        <v>145</v>
      </c>
      <c r="B74" s="439"/>
      <c r="C74" s="439"/>
      <c r="D74" s="440"/>
      <c r="E74" s="56">
        <f>E72+E65+E63+E61+E59+E57+E55+E53+E49+E44+E42+E39+E36+E34+E32+E30+E22+E10</f>
        <v>7855265077.7200003</v>
      </c>
      <c r="F74" s="56">
        <f>F72+F65+F63+F61+F59+F57+F55+F53+F49+F44+F42+F39+F36+F34+F32+F30+F22+F10</f>
        <v>97569000</v>
      </c>
      <c r="G74" s="56">
        <f>G72+G65+G63+G61+G59+G57+G55+G53+G49+G44+G42+G39+G36+G34+G32+G30+G22+G10</f>
        <v>7952834077.7200003</v>
      </c>
      <c r="H74" s="56">
        <f>H72+H65+H63+H61+H59+H57+H55+H53+H49+H44+H42+H39+H36+H34+H32+H30+H22+H10</f>
        <v>100</v>
      </c>
      <c r="I74" s="56">
        <f>I72+I65+I63+I61+I59+I57+I55+I53+I49+I44+I42+I39+I36+I34+I32+I30+I22+I10</f>
        <v>6394907176</v>
      </c>
      <c r="J74" s="57">
        <f t="shared" si="2"/>
        <v>80.410418644536307</v>
      </c>
      <c r="K74" s="56">
        <v>95.34</v>
      </c>
      <c r="L74" s="56">
        <f>L72+L65+L63+L61+L59+L57+L55+L53+L49+L44+L42+L39+L36+L34+L32+L30+L22+L10</f>
        <v>91.536733790884895</v>
      </c>
      <c r="M74" s="56">
        <f>M72+M65+M63+M61+M59+M57+M55+M53+M49+M44+M42+M39+M36+M34+M32+M30+M22+M10</f>
        <v>1557926901.72</v>
      </c>
      <c r="N74" s="56"/>
      <c r="O74" s="58"/>
      <c r="P74" s="59">
        <v>4385.5568173454367</v>
      </c>
    </row>
    <row r="75" spans="1:18" ht="15.5" x14ac:dyDescent="0.35">
      <c r="A75" s="60"/>
      <c r="B75" s="17"/>
      <c r="C75" s="17"/>
      <c r="D75" s="17"/>
      <c r="E75" s="61"/>
      <c r="F75" s="62"/>
      <c r="G75" s="62"/>
      <c r="H75" s="62"/>
      <c r="I75" s="62"/>
      <c r="J75" s="63"/>
      <c r="K75" s="63"/>
      <c r="L75" s="63"/>
      <c r="M75" s="63"/>
      <c r="N75" s="64"/>
      <c r="O75" s="17"/>
      <c r="P75" s="38">
        <f>P74/46</f>
        <v>95.338191681422543</v>
      </c>
    </row>
    <row r="76" spans="1:18" ht="15.5" x14ac:dyDescent="0.35">
      <c r="A76" s="60"/>
      <c r="B76" s="17"/>
      <c r="C76" s="17"/>
      <c r="D76" s="17"/>
      <c r="E76" s="61">
        <v>7738766077.0699997</v>
      </c>
      <c r="F76" s="62"/>
      <c r="G76" s="62"/>
      <c r="H76" s="62"/>
      <c r="J76" s="441" t="s">
        <v>146</v>
      </c>
      <c r="K76" s="441"/>
      <c r="L76" s="441"/>
      <c r="M76" s="63"/>
      <c r="N76" s="64"/>
      <c r="O76" s="17"/>
      <c r="P76" s="38"/>
    </row>
    <row r="77" spans="1:18" ht="15.5" x14ac:dyDescent="0.35">
      <c r="A77" s="60"/>
      <c r="B77" s="17"/>
      <c r="C77" s="17"/>
      <c r="D77" s="17"/>
      <c r="E77" s="61"/>
      <c r="F77" s="62"/>
      <c r="G77" s="65"/>
      <c r="H77" s="65"/>
      <c r="J77" s="435" t="s">
        <v>147</v>
      </c>
      <c r="K77" s="435"/>
      <c r="L77" s="435"/>
      <c r="M77" s="63"/>
      <c r="N77" s="64"/>
      <c r="O77" s="17"/>
      <c r="P77" s="38"/>
    </row>
    <row r="78" spans="1:18" ht="15.5" x14ac:dyDescent="0.35">
      <c r="A78" s="60"/>
      <c r="B78" s="17"/>
      <c r="C78" s="17"/>
      <c r="D78" s="17"/>
      <c r="E78" s="61"/>
      <c r="F78" s="62"/>
      <c r="G78" s="65"/>
      <c r="H78" s="65"/>
      <c r="J78" s="65"/>
      <c r="K78" s="65"/>
      <c r="L78" s="65"/>
      <c r="M78" s="63"/>
      <c r="N78" s="64"/>
      <c r="O78" s="17"/>
      <c r="P78" s="38"/>
    </row>
    <row r="79" spans="1:18" ht="15.5" x14ac:dyDescent="0.35">
      <c r="A79" s="60"/>
      <c r="B79" s="17"/>
      <c r="C79" s="17"/>
      <c r="D79" s="17"/>
      <c r="E79" s="62"/>
      <c r="F79" s="62"/>
      <c r="G79" s="65"/>
      <c r="H79" s="65"/>
      <c r="J79" s="65"/>
      <c r="K79" s="65"/>
      <c r="L79" s="65"/>
      <c r="M79" s="63"/>
      <c r="N79" s="64"/>
      <c r="O79" s="17"/>
      <c r="P79" s="38"/>
    </row>
    <row r="80" spans="1:18" ht="15.5" x14ac:dyDescent="0.35">
      <c r="A80" s="60"/>
      <c r="B80" s="17">
        <f>68/96*100</f>
        <v>70.833333333333343</v>
      </c>
      <c r="C80" s="17"/>
      <c r="D80" s="17"/>
      <c r="E80" s="62"/>
      <c r="F80" s="62"/>
      <c r="G80" s="62"/>
      <c r="H80" s="65"/>
      <c r="J80" s="63"/>
      <c r="K80" s="65"/>
      <c r="L80" s="63"/>
      <c r="M80" s="63"/>
      <c r="N80" s="64"/>
      <c r="O80" s="17"/>
      <c r="P80" s="38"/>
    </row>
    <row r="81" spans="1:16" ht="18.5" x14ac:dyDescent="0.65">
      <c r="A81" s="60"/>
      <c r="B81" s="72"/>
      <c r="C81" s="17"/>
      <c r="D81" s="17"/>
      <c r="E81" s="62"/>
      <c r="F81" s="62"/>
      <c r="G81" s="62"/>
      <c r="H81" s="65"/>
      <c r="J81" s="436" t="s">
        <v>151</v>
      </c>
      <c r="K81" s="436"/>
      <c r="L81" s="436"/>
      <c r="M81" s="63"/>
      <c r="N81" s="64"/>
      <c r="O81" s="17"/>
      <c r="P81" s="38"/>
    </row>
    <row r="82" spans="1:16" ht="15.5" x14ac:dyDescent="0.35">
      <c r="A82" s="73"/>
      <c r="B82" s="74"/>
      <c r="C82" s="74"/>
      <c r="D82" s="74"/>
      <c r="E82" s="75"/>
      <c r="F82" s="76"/>
      <c r="G82" s="76"/>
      <c r="H82" s="77"/>
      <c r="I82" s="78"/>
      <c r="J82" s="437" t="s">
        <v>152</v>
      </c>
      <c r="K82" s="437"/>
      <c r="L82" s="437"/>
      <c r="M82" s="79"/>
      <c r="N82" s="80"/>
      <c r="O82" s="17"/>
      <c r="P82" s="38"/>
    </row>
    <row r="83" spans="1:16" ht="15.5" x14ac:dyDescent="0.35">
      <c r="A83" s="81"/>
      <c r="B83" s="81"/>
      <c r="C83" s="81"/>
      <c r="D83" s="81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1"/>
      <c r="P83" s="38"/>
    </row>
    <row r="84" spans="1:16" ht="15.5" x14ac:dyDescent="0.35">
      <c r="A84" t="s">
        <v>153</v>
      </c>
      <c r="B84" s="17"/>
      <c r="E84" s="83"/>
      <c r="F84" s="83"/>
      <c r="G84" s="83"/>
      <c r="H84" s="83"/>
      <c r="I84" s="83"/>
      <c r="J84" s="83">
        <v>3.49</v>
      </c>
      <c r="K84" s="83"/>
      <c r="L84" s="83"/>
      <c r="M84" s="83"/>
      <c r="N84" s="83"/>
      <c r="P84" s="38"/>
    </row>
    <row r="85" spans="1:16" ht="15.5" x14ac:dyDescent="0.35">
      <c r="B85" s="17"/>
      <c r="E85" s="83"/>
      <c r="F85" s="83"/>
      <c r="G85" s="83"/>
      <c r="H85" s="83"/>
      <c r="I85" s="83">
        <v>6394907176</v>
      </c>
      <c r="J85" s="83">
        <v>80.41</v>
      </c>
      <c r="K85" s="83"/>
      <c r="L85" s="83"/>
      <c r="M85" s="83"/>
      <c r="N85" s="83"/>
      <c r="P85" s="38"/>
    </row>
    <row r="86" spans="1:16" ht="15.5" x14ac:dyDescent="0.35">
      <c r="B86" s="17"/>
      <c r="E86" s="83"/>
      <c r="F86" s="83"/>
      <c r="G86" s="83"/>
      <c r="H86" s="83"/>
      <c r="I86" s="83"/>
      <c r="J86" s="83"/>
      <c r="K86" s="83"/>
      <c r="L86" s="83"/>
      <c r="M86" s="83"/>
      <c r="N86" s="83"/>
      <c r="P86" s="38"/>
    </row>
    <row r="87" spans="1:16" ht="15.5" x14ac:dyDescent="0.35">
      <c r="B87" s="17"/>
      <c r="E87" s="83"/>
      <c r="F87" s="83"/>
      <c r="G87" s="83"/>
      <c r="H87" s="83"/>
      <c r="I87" s="83"/>
      <c r="J87" s="83"/>
      <c r="K87" s="83"/>
      <c r="L87" s="83"/>
      <c r="M87" s="83"/>
      <c r="N87" s="83"/>
      <c r="P87" s="38"/>
    </row>
    <row r="88" spans="1:16" ht="15.5" x14ac:dyDescent="0.35">
      <c r="B88" s="17"/>
      <c r="E88" s="83"/>
      <c r="F88" s="83"/>
      <c r="G88" s="83"/>
      <c r="H88" s="83"/>
      <c r="I88" s="83"/>
      <c r="J88" s="83"/>
      <c r="K88" s="83"/>
      <c r="L88" s="83"/>
      <c r="M88" s="83"/>
      <c r="N88" s="83"/>
      <c r="P88" s="38"/>
    </row>
    <row r="89" spans="1:16" x14ac:dyDescent="0.35">
      <c r="E89" s="83"/>
      <c r="F89" s="83"/>
      <c r="G89" s="84"/>
      <c r="H89" s="83"/>
      <c r="I89" s="83"/>
      <c r="J89" s="83"/>
      <c r="K89" s="83"/>
      <c r="L89" s="83"/>
      <c r="M89" s="83"/>
      <c r="N89" s="83"/>
      <c r="P89" s="38"/>
    </row>
    <row r="90" spans="1:16" ht="15.5" x14ac:dyDescent="0.35">
      <c r="B90" s="17"/>
      <c r="E90" s="83"/>
      <c r="F90" s="83"/>
      <c r="G90" s="83"/>
      <c r="H90" s="83"/>
      <c r="I90" s="83"/>
      <c r="J90" s="83"/>
      <c r="K90" s="83"/>
      <c r="L90" s="83"/>
      <c r="M90" s="83"/>
      <c r="N90" s="83"/>
      <c r="P90" s="38"/>
    </row>
    <row r="91" spans="1:16" ht="15.5" x14ac:dyDescent="0.35">
      <c r="B91" s="17"/>
      <c r="E91" s="83"/>
      <c r="F91" s="83"/>
      <c r="G91" s="83"/>
      <c r="H91" s="83"/>
      <c r="I91" s="83"/>
      <c r="J91" s="83"/>
      <c r="K91" s="83"/>
      <c r="L91" s="83"/>
      <c r="M91" s="83"/>
      <c r="N91" s="83"/>
      <c r="P91" s="38"/>
    </row>
    <row r="92" spans="1:16" ht="15.5" x14ac:dyDescent="0.35">
      <c r="B92" s="17"/>
      <c r="E92" s="83"/>
      <c r="F92" s="83"/>
      <c r="G92" s="83"/>
      <c r="H92" s="83"/>
      <c r="I92" s="83"/>
      <c r="J92" s="83"/>
      <c r="K92" s="83"/>
      <c r="L92" s="83"/>
      <c r="M92" s="83"/>
      <c r="N92" s="83"/>
      <c r="P92" s="38"/>
    </row>
    <row r="93" spans="1:16" ht="15.5" x14ac:dyDescent="0.35">
      <c r="B93" s="17"/>
      <c r="E93" s="83"/>
      <c r="F93" s="83"/>
      <c r="G93" s="83"/>
      <c r="H93" s="83"/>
      <c r="I93" s="83"/>
      <c r="J93" s="83"/>
      <c r="K93" s="83"/>
      <c r="L93" s="83"/>
      <c r="M93" s="83"/>
      <c r="N93" s="83"/>
      <c r="P93" s="38"/>
    </row>
    <row r="94" spans="1:16" ht="15.5" x14ac:dyDescent="0.35">
      <c r="B94" s="17"/>
      <c r="E94" s="83"/>
      <c r="F94" s="83"/>
      <c r="G94" s="83"/>
      <c r="H94" s="83"/>
      <c r="I94" s="83"/>
      <c r="J94" s="83"/>
      <c r="K94" s="83"/>
      <c r="L94" s="83"/>
      <c r="M94" s="83"/>
      <c r="N94" s="83"/>
      <c r="P94" s="38"/>
    </row>
    <row r="95" spans="1:16" ht="15.5" x14ac:dyDescent="0.35">
      <c r="B95" s="17"/>
      <c r="E95" s="83"/>
      <c r="F95" s="83"/>
      <c r="G95" s="83"/>
      <c r="H95" s="83"/>
      <c r="I95" s="83"/>
      <c r="J95" s="83"/>
      <c r="K95" s="83"/>
      <c r="L95" s="83"/>
      <c r="M95" s="83"/>
      <c r="N95" s="83"/>
      <c r="P95" s="38"/>
    </row>
    <row r="96" spans="1:16" ht="15.5" x14ac:dyDescent="0.35">
      <c r="B96" s="17"/>
      <c r="E96" s="83"/>
      <c r="F96" s="83"/>
      <c r="G96" s="83"/>
      <c r="H96" s="83"/>
      <c r="I96" s="83"/>
      <c r="J96" s="83"/>
      <c r="K96" s="83"/>
      <c r="L96" s="83"/>
      <c r="M96" s="83"/>
      <c r="N96" s="83"/>
      <c r="P96" s="38"/>
    </row>
    <row r="97" spans="2:16" ht="15.5" x14ac:dyDescent="0.35">
      <c r="B97" s="17"/>
      <c r="E97" s="83"/>
      <c r="F97" s="83"/>
      <c r="G97" s="83"/>
      <c r="H97" s="83"/>
      <c r="I97" s="83"/>
      <c r="J97" s="83"/>
      <c r="K97" s="83"/>
      <c r="L97" s="83"/>
      <c r="M97" s="83"/>
      <c r="N97" s="83"/>
      <c r="P97" s="38"/>
    </row>
    <row r="98" spans="2:16" ht="15.5" x14ac:dyDescent="0.35">
      <c r="B98" s="17"/>
      <c r="E98" s="83"/>
      <c r="F98" s="83"/>
      <c r="G98" s="83"/>
      <c r="H98" s="83"/>
      <c r="I98" s="83"/>
      <c r="J98" s="83"/>
      <c r="K98" s="83"/>
      <c r="L98" s="83"/>
      <c r="M98" s="83"/>
      <c r="N98" s="83"/>
      <c r="P98" s="38"/>
    </row>
    <row r="99" spans="2:16" ht="15.5" x14ac:dyDescent="0.35">
      <c r="B99" s="17"/>
      <c r="E99" s="83"/>
      <c r="F99" s="83"/>
      <c r="G99" s="83"/>
      <c r="H99" s="85"/>
      <c r="I99" s="83"/>
      <c r="J99" s="83"/>
      <c r="K99" s="83"/>
      <c r="L99" s="83"/>
      <c r="M99" s="83"/>
      <c r="N99" s="83"/>
      <c r="P99" s="38"/>
    </row>
    <row r="100" spans="2:16" ht="15.5" x14ac:dyDescent="0.35">
      <c r="B100" s="17"/>
      <c r="E100" s="83"/>
      <c r="F100" s="83"/>
      <c r="G100" s="83"/>
      <c r="H100" s="86"/>
      <c r="I100" s="83"/>
      <c r="J100" s="83"/>
      <c r="K100" s="83"/>
      <c r="L100" s="83"/>
      <c r="M100" s="83"/>
      <c r="N100" s="83"/>
    </row>
    <row r="101" spans="2:16" x14ac:dyDescent="0.35">
      <c r="B101" s="72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2:16" x14ac:dyDescent="0.35">
      <c r="B102" s="38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2:16" x14ac:dyDescent="0.35"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2:16" x14ac:dyDescent="0.35"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2:16" x14ac:dyDescent="0.35"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2:16" x14ac:dyDescent="0.35"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2:16" x14ac:dyDescent="0.35"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2:16" x14ac:dyDescent="0.35"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2:16" x14ac:dyDescent="0.35"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2:16" x14ac:dyDescent="0.35"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2:16" x14ac:dyDescent="0.35"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2:16" x14ac:dyDescent="0.35"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5:14" x14ac:dyDescent="0.35"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5:14" x14ac:dyDescent="0.35"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5:14" x14ac:dyDescent="0.35"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5:14" x14ac:dyDescent="0.35"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5:14" x14ac:dyDescent="0.35"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5:14" x14ac:dyDescent="0.35"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5:14" x14ac:dyDescent="0.35"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5:14" x14ac:dyDescent="0.35"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5:14" x14ac:dyDescent="0.35"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5:14" x14ac:dyDescent="0.35"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5:14" x14ac:dyDescent="0.35"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5:14" x14ac:dyDescent="0.35"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5:14" x14ac:dyDescent="0.35"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5:14" x14ac:dyDescent="0.35"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5:14" x14ac:dyDescent="0.35"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5:14" x14ac:dyDescent="0.35"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312" spans="17:17" x14ac:dyDescent="0.35">
      <c r="Q312" t="s">
        <v>154</v>
      </c>
    </row>
  </sheetData>
  <mergeCells count="37">
    <mergeCell ref="J77:L77"/>
    <mergeCell ref="J81:L81"/>
    <mergeCell ref="J82:L82"/>
    <mergeCell ref="B63:D63"/>
    <mergeCell ref="B64:D64"/>
    <mergeCell ref="B65:D65"/>
    <mergeCell ref="B72:D72"/>
    <mergeCell ref="A74:D74"/>
    <mergeCell ref="J76:L76"/>
    <mergeCell ref="B60:D60"/>
    <mergeCell ref="B22:D22"/>
    <mergeCell ref="B30:D30"/>
    <mergeCell ref="B31:D31"/>
    <mergeCell ref="B32:D32"/>
    <mergeCell ref="B36:D36"/>
    <mergeCell ref="B37:D37"/>
    <mergeCell ref="B38:D38"/>
    <mergeCell ref="B44:D44"/>
    <mergeCell ref="B48:D48"/>
    <mergeCell ref="B55:D55"/>
    <mergeCell ref="B59:D59"/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8"/>
  <sheetViews>
    <sheetView view="pageBreakPreview" topLeftCell="B18" zoomScale="70" zoomScaleNormal="80" zoomScaleSheetLayoutView="70" workbookViewId="0">
      <selection activeCell="H31" sqref="H31"/>
    </sheetView>
  </sheetViews>
  <sheetFormatPr defaultColWidth="9.1796875" defaultRowHeight="14.5" x14ac:dyDescent="0.35"/>
  <cols>
    <col min="1" max="1" width="18.7265625" style="88" customWidth="1"/>
    <col min="2" max="2" width="1.26953125" style="88" customWidth="1"/>
    <col min="3" max="3" width="50.26953125" style="88" customWidth="1"/>
    <col min="4" max="6" width="15.7265625" style="88" hidden="1" customWidth="1"/>
    <col min="7" max="7" width="9.26953125" style="88" hidden="1" customWidth="1"/>
    <col min="8" max="8" width="17.7265625" style="88" customWidth="1"/>
    <col min="9" max="10" width="8.7265625" style="88" customWidth="1"/>
    <col min="11" max="11" width="15.7265625" style="88" customWidth="1"/>
    <col min="12" max="12" width="18.54296875" style="88" customWidth="1"/>
    <col min="13" max="13" width="13.81640625" style="88" customWidth="1"/>
    <col min="14" max="14" width="3.26953125" style="88" customWidth="1"/>
    <col min="15" max="18" width="13.7265625" style="331" hidden="1" customWidth="1"/>
    <col min="19" max="19" width="15.81640625" style="331" hidden="1" customWidth="1"/>
    <col min="20" max="20" width="15.54296875" style="335" hidden="1" customWidth="1"/>
    <col min="21" max="21" width="17.1796875" style="335" hidden="1" customWidth="1"/>
    <col min="22" max="22" width="14.26953125" style="331" hidden="1" customWidth="1"/>
    <col min="23" max="23" width="13" style="331" hidden="1" customWidth="1"/>
    <col min="24" max="24" width="14.453125" style="331" hidden="1" customWidth="1"/>
    <col min="25" max="29" width="16.26953125" style="331" hidden="1" customWidth="1"/>
    <col min="30" max="33" width="16.26953125" style="331" customWidth="1"/>
    <col min="34" max="34" width="16.26953125" style="335" customWidth="1"/>
    <col min="35" max="35" width="15.7265625" style="88" customWidth="1"/>
    <col min="36" max="37" width="17.81640625" style="88" customWidth="1"/>
    <col min="38" max="39" width="21.1796875" style="88" customWidth="1"/>
    <col min="40" max="16384" width="9.1796875" style="88"/>
  </cols>
  <sheetData>
    <row r="1" spans="1:34" s="245" customFormat="1" ht="27" customHeight="1" x14ac:dyDescent="0.35">
      <c r="A1" s="452" t="s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  <c r="O1" s="327"/>
      <c r="P1" s="327"/>
      <c r="Q1" s="327"/>
      <c r="R1" s="327"/>
      <c r="S1" s="327"/>
      <c r="T1" s="333"/>
      <c r="U1" s="333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33"/>
    </row>
    <row r="2" spans="1:34" s="263" customFormat="1" ht="28.5" customHeight="1" x14ac:dyDescent="0.35">
      <c r="A2" s="455" t="s">
        <v>319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  <c r="O2" s="326"/>
      <c r="P2" s="326"/>
      <c r="Q2" s="326"/>
      <c r="R2" s="326"/>
      <c r="S2" s="326"/>
      <c r="T2" s="334"/>
      <c r="U2" s="334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34"/>
    </row>
    <row r="3" spans="1:34" s="263" customFormat="1" ht="15" customHeight="1" x14ac:dyDescent="0.35">
      <c r="A3" s="246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O3" s="326"/>
      <c r="P3" s="326"/>
      <c r="Q3" s="326"/>
      <c r="R3" s="326"/>
      <c r="S3" s="326"/>
      <c r="T3" s="334"/>
      <c r="U3" s="334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34"/>
    </row>
    <row r="4" spans="1:34" s="263" customFormat="1" ht="15" customHeight="1" x14ac:dyDescent="0.35">
      <c r="A4" s="250" t="s">
        <v>273</v>
      </c>
      <c r="B4" s="251" t="s">
        <v>1</v>
      </c>
      <c r="C4" s="252" t="s">
        <v>238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  <c r="O4" s="326"/>
      <c r="P4" s="326"/>
      <c r="Q4" s="326"/>
      <c r="R4" s="326"/>
      <c r="S4" s="326"/>
      <c r="T4" s="334"/>
      <c r="U4" s="334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34"/>
    </row>
    <row r="5" spans="1:34" s="263" customFormat="1" ht="15" customHeight="1" x14ac:dyDescent="0.35">
      <c r="A5" s="250" t="s">
        <v>3</v>
      </c>
      <c r="B5" s="251" t="s">
        <v>1</v>
      </c>
      <c r="C5" s="252" t="s">
        <v>340</v>
      </c>
      <c r="D5" s="458"/>
      <c r="E5" s="458"/>
      <c r="F5" s="253"/>
      <c r="G5" s="253"/>
      <c r="H5" s="253"/>
      <c r="I5" s="251"/>
      <c r="J5" s="251"/>
      <c r="K5" s="251"/>
      <c r="L5" s="251"/>
      <c r="M5" s="254"/>
      <c r="O5" s="326"/>
      <c r="P5" s="326"/>
      <c r="Q5" s="326"/>
      <c r="R5" s="326"/>
      <c r="S5" s="326"/>
      <c r="T5" s="334"/>
      <c r="U5" s="334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34"/>
    </row>
    <row r="6" spans="1:34" s="263" customFormat="1" ht="16" customHeight="1" x14ac:dyDescent="0.35">
      <c r="A6" s="459" t="s">
        <v>4</v>
      </c>
      <c r="B6" s="462" t="s">
        <v>5</v>
      </c>
      <c r="C6" s="463"/>
      <c r="D6" s="468" t="s">
        <v>189</v>
      </c>
      <c r="E6" s="445" t="s">
        <v>190</v>
      </c>
      <c r="F6" s="445" t="s">
        <v>191</v>
      </c>
      <c r="G6" s="445" t="s">
        <v>9</v>
      </c>
      <c r="H6" s="471" t="s">
        <v>204</v>
      </c>
      <c r="I6" s="471"/>
      <c r="J6" s="471"/>
      <c r="K6" s="471"/>
      <c r="L6" s="445" t="s">
        <v>192</v>
      </c>
      <c r="M6" s="459" t="s">
        <v>12</v>
      </c>
      <c r="O6" s="326"/>
      <c r="P6" s="326"/>
      <c r="Q6" s="326"/>
      <c r="R6" s="326"/>
      <c r="S6" s="326"/>
      <c r="T6" s="334"/>
      <c r="U6" s="334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34"/>
    </row>
    <row r="7" spans="1:34" s="263" customFormat="1" ht="16" customHeight="1" x14ac:dyDescent="0.35">
      <c r="A7" s="460"/>
      <c r="B7" s="464"/>
      <c r="C7" s="465"/>
      <c r="D7" s="469"/>
      <c r="E7" s="446"/>
      <c r="F7" s="446"/>
      <c r="G7" s="446"/>
      <c r="H7" s="472" t="s">
        <v>13</v>
      </c>
      <c r="I7" s="473"/>
      <c r="J7" s="476" t="s">
        <v>14</v>
      </c>
      <c r="K7" s="463"/>
      <c r="L7" s="446"/>
      <c r="M7" s="460"/>
      <c r="O7" s="326"/>
      <c r="P7" s="326"/>
      <c r="Q7" s="326"/>
      <c r="R7" s="326"/>
      <c r="S7" s="326"/>
      <c r="T7" s="334"/>
      <c r="U7" s="334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34"/>
    </row>
    <row r="8" spans="1:34" s="263" customFormat="1" ht="16" customHeight="1" x14ac:dyDescent="0.35">
      <c r="A8" s="460"/>
      <c r="B8" s="464"/>
      <c r="C8" s="465"/>
      <c r="D8" s="469"/>
      <c r="E8" s="446"/>
      <c r="F8" s="446"/>
      <c r="G8" s="446"/>
      <c r="H8" s="474"/>
      <c r="I8" s="475"/>
      <c r="J8" s="477"/>
      <c r="K8" s="467"/>
      <c r="L8" s="446"/>
      <c r="M8" s="460"/>
      <c r="O8" s="332"/>
      <c r="P8" s="443"/>
      <c r="Q8" s="443"/>
      <c r="R8" s="442"/>
      <c r="S8" s="442"/>
      <c r="T8" s="447"/>
      <c r="U8" s="447"/>
      <c r="V8" s="442"/>
      <c r="W8" s="442"/>
      <c r="X8" s="443"/>
      <c r="Y8" s="443"/>
      <c r="Z8" s="443"/>
      <c r="AA8" s="443"/>
      <c r="AB8" s="443"/>
      <c r="AC8" s="443"/>
      <c r="AD8" s="442"/>
      <c r="AE8" s="442"/>
      <c r="AF8" s="332"/>
      <c r="AG8" s="332"/>
      <c r="AH8" s="367"/>
    </row>
    <row r="9" spans="1:34" s="263" customFormat="1" ht="16" customHeight="1" x14ac:dyDescent="0.35">
      <c r="A9" s="461"/>
      <c r="B9" s="466"/>
      <c r="C9" s="467"/>
      <c r="D9" s="233" t="s">
        <v>15</v>
      </c>
      <c r="E9" s="240" t="s">
        <v>15</v>
      </c>
      <c r="F9" s="240" t="s">
        <v>15</v>
      </c>
      <c r="G9" s="470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61"/>
      <c r="O9" s="326"/>
      <c r="P9" s="328"/>
      <c r="Q9" s="328"/>
      <c r="R9" s="329"/>
      <c r="S9" s="329"/>
      <c r="T9" s="336"/>
      <c r="U9" s="336"/>
      <c r="V9" s="329"/>
      <c r="W9" s="329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67"/>
    </row>
    <row r="10" spans="1:34" s="263" customFormat="1" ht="35.15" customHeight="1" x14ac:dyDescent="0.35">
      <c r="A10" s="255" t="s">
        <v>261</v>
      </c>
      <c r="B10" s="256"/>
      <c r="C10" s="234" t="s">
        <v>262</v>
      </c>
      <c r="D10" s="225">
        <f>SUM(D11,D15,D20,D29,D33,D26)</f>
        <v>5732480785</v>
      </c>
      <c r="E10" s="225">
        <f>SUM(E11,E15,E20,E29,E33,E26)</f>
        <v>0</v>
      </c>
      <c r="F10" s="225">
        <f>SUM(F11,F15,F20,F29,F33,F26)</f>
        <v>5732480785</v>
      </c>
      <c r="G10" s="226"/>
      <c r="H10" s="227">
        <f>H11+H15+H20+H26+H29+H33</f>
        <v>4141304022</v>
      </c>
      <c r="I10" s="228"/>
      <c r="J10" s="227"/>
      <c r="K10" s="227"/>
      <c r="L10" s="226">
        <f>F10-H10</f>
        <v>1591176763</v>
      </c>
      <c r="M10" s="257"/>
      <c r="O10" s="326"/>
      <c r="P10" s="326"/>
      <c r="Q10" s="326"/>
      <c r="R10" s="326"/>
      <c r="S10" s="326"/>
      <c r="T10" s="334"/>
      <c r="U10" s="334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34"/>
    </row>
    <row r="11" spans="1:34" s="263" customFormat="1" ht="35.15" customHeight="1" x14ac:dyDescent="0.35">
      <c r="A11" s="258" t="s">
        <v>233</v>
      </c>
      <c r="B11" s="259"/>
      <c r="C11" s="235" t="s">
        <v>196</v>
      </c>
      <c r="D11" s="229">
        <f>SUM(D12:D13)</f>
        <v>32976600</v>
      </c>
      <c r="E11" s="229">
        <f>SUM(E12:E13)</f>
        <v>0</v>
      </c>
      <c r="F11" s="229">
        <f t="shared" ref="F11:F31" si="0">D11</f>
        <v>32976600</v>
      </c>
      <c r="G11" s="230"/>
      <c r="H11" s="231">
        <f>SUM(H12:H13)</f>
        <v>24896600</v>
      </c>
      <c r="I11" s="232"/>
      <c r="J11" s="231"/>
      <c r="K11" s="231"/>
      <c r="L11" s="230">
        <f>F11-H11</f>
        <v>8080000</v>
      </c>
      <c r="M11" s="260"/>
      <c r="O11" s="326"/>
      <c r="P11" s="326"/>
      <c r="Q11" s="326"/>
      <c r="R11" s="326"/>
      <c r="S11" s="326"/>
      <c r="T11" s="334"/>
      <c r="U11" s="334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34"/>
    </row>
    <row r="12" spans="1:34" s="263" customFormat="1" ht="16" customHeight="1" x14ac:dyDescent="0.35">
      <c r="A12" s="241" t="s">
        <v>234</v>
      </c>
      <c r="B12" s="242"/>
      <c r="C12" s="236" t="s">
        <v>336</v>
      </c>
      <c r="D12" s="217">
        <v>18731600</v>
      </c>
      <c r="E12" s="217">
        <v>0</v>
      </c>
      <c r="F12" s="217">
        <f>D12+E12</f>
        <v>18731600</v>
      </c>
      <c r="G12" s="220">
        <f>F12/$F$69*100</f>
        <v>0.27493546784273687</v>
      </c>
      <c r="H12" s="219">
        <v>12031600</v>
      </c>
      <c r="I12" s="220">
        <f>H12/F12*100</f>
        <v>64.231565910013018</v>
      </c>
      <c r="J12" s="221">
        <f>I12</f>
        <v>64.231565910013018</v>
      </c>
      <c r="K12" s="222">
        <f>J12*G12/100</f>
        <v>0.17659535623741018</v>
      </c>
      <c r="L12" s="223">
        <f t="shared" ref="L12:L13" si="1">F12-H12</f>
        <v>6700000</v>
      </c>
      <c r="M12" s="244"/>
      <c r="O12" s="366"/>
      <c r="P12" s="36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34"/>
    </row>
    <row r="13" spans="1:34" s="263" customFormat="1" ht="16" customHeight="1" x14ac:dyDescent="0.35">
      <c r="A13" s="241" t="s">
        <v>235</v>
      </c>
      <c r="B13" s="242"/>
      <c r="C13" s="236" t="s">
        <v>287</v>
      </c>
      <c r="D13" s="217">
        <v>14245000</v>
      </c>
      <c r="E13" s="217">
        <v>0</v>
      </c>
      <c r="F13" s="217">
        <f>D13+E13</f>
        <v>14245000</v>
      </c>
      <c r="G13" s="220">
        <f>F13/$F$69*100</f>
        <v>0.20908281937580278</v>
      </c>
      <c r="H13" s="219">
        <v>12865000</v>
      </c>
      <c r="I13" s="220">
        <f>H13/F13*100</f>
        <v>90.312390312390306</v>
      </c>
      <c r="J13" s="221">
        <f>I13</f>
        <v>90.312390312390306</v>
      </c>
      <c r="K13" s="222">
        <f>J13*G13/100</f>
        <v>0.18882769191082502</v>
      </c>
      <c r="L13" s="223">
        <f t="shared" si="1"/>
        <v>1380000</v>
      </c>
      <c r="M13" s="244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34"/>
    </row>
    <row r="14" spans="1:34" s="263" customFormat="1" ht="15" customHeight="1" x14ac:dyDescent="0.35">
      <c r="A14" s="241"/>
      <c r="B14" s="262"/>
      <c r="C14" s="236"/>
      <c r="D14" s="217"/>
      <c r="E14" s="217"/>
      <c r="F14" s="218"/>
      <c r="G14" s="220"/>
      <c r="H14" s="219"/>
      <c r="I14" s="220"/>
      <c r="J14" s="221"/>
      <c r="K14" s="222"/>
      <c r="L14" s="223"/>
      <c r="M14" s="244"/>
      <c r="O14" s="326"/>
      <c r="P14" s="326"/>
      <c r="Q14" s="326"/>
      <c r="R14" s="326"/>
      <c r="S14" s="326"/>
      <c r="T14" s="334"/>
      <c r="U14" s="334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34"/>
    </row>
    <row r="15" spans="1:34" s="263" customFormat="1" ht="16" customHeight="1" x14ac:dyDescent="0.35">
      <c r="A15" s="258" t="s">
        <v>236</v>
      </c>
      <c r="B15" s="259"/>
      <c r="C15" s="235" t="s">
        <v>199</v>
      </c>
      <c r="D15" s="229">
        <f>SUM(D16:D18)</f>
        <v>5374760745</v>
      </c>
      <c r="E15" s="229">
        <f>SUM(E16:E18)</f>
        <v>0</v>
      </c>
      <c r="F15" s="229">
        <f>SUM(F16:F18)</f>
        <v>5374760745</v>
      </c>
      <c r="G15" s="230"/>
      <c r="H15" s="231">
        <f>SUM(H16:H18)</f>
        <v>3873809648</v>
      </c>
      <c r="I15" s="232"/>
      <c r="J15" s="231"/>
      <c r="K15" s="231"/>
      <c r="L15" s="230">
        <f>F15-H15</f>
        <v>1500951097</v>
      </c>
      <c r="M15" s="261"/>
      <c r="O15" s="326"/>
      <c r="P15" s="326"/>
      <c r="Q15" s="326"/>
      <c r="R15" s="326"/>
      <c r="S15" s="326"/>
      <c r="T15" s="334"/>
      <c r="U15" s="334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34"/>
    </row>
    <row r="16" spans="1:34" s="263" customFormat="1" ht="16" customHeight="1" x14ac:dyDescent="0.35">
      <c r="A16" s="241" t="s">
        <v>237</v>
      </c>
      <c r="B16" s="242"/>
      <c r="C16" s="243" t="s">
        <v>239</v>
      </c>
      <c r="D16" s="217">
        <v>5081204017</v>
      </c>
      <c r="E16" s="217">
        <v>0</v>
      </c>
      <c r="F16" s="217">
        <f>D16+E16</f>
        <v>5081204017</v>
      </c>
      <c r="G16" s="220">
        <f>F16/$F$69*100</f>
        <v>74.580025391226016</v>
      </c>
      <c r="H16" s="219">
        <v>3677308350</v>
      </c>
      <c r="I16" s="220">
        <f>H16/F16*100</f>
        <v>72.370806952386928</v>
      </c>
      <c r="J16" s="221">
        <f t="shared" ref="J16:J17" si="2">I16</f>
        <v>72.370806952386928</v>
      </c>
      <c r="K16" s="222">
        <f>J16*G16/100</f>
        <v>53.974166200925339</v>
      </c>
      <c r="L16" s="223">
        <f t="shared" ref="L16:L18" si="3">F16-H16</f>
        <v>1403895667</v>
      </c>
      <c r="M16" s="244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34"/>
    </row>
    <row r="17" spans="1:34" s="263" customFormat="1" ht="16" customHeight="1" x14ac:dyDescent="0.35">
      <c r="A17" s="241" t="s">
        <v>240</v>
      </c>
      <c r="B17" s="242"/>
      <c r="C17" s="243" t="s">
        <v>200</v>
      </c>
      <c r="D17" s="217">
        <v>274466928</v>
      </c>
      <c r="E17" s="217">
        <v>0</v>
      </c>
      <c r="F17" s="217">
        <f t="shared" ref="F17:F18" si="4">D17+E17</f>
        <v>274466928</v>
      </c>
      <c r="G17" s="220">
        <f t="shared" ref="G17:G18" si="5">F17/$F$69*100</f>
        <v>4.0285236315658457</v>
      </c>
      <c r="H17" s="219">
        <v>186281498</v>
      </c>
      <c r="I17" s="220">
        <f t="shared" ref="I17:I18" si="6">H17/F17*100</f>
        <v>67.870289275799379</v>
      </c>
      <c r="J17" s="221">
        <f t="shared" si="2"/>
        <v>67.870289275799379</v>
      </c>
      <c r="K17" s="222">
        <f>J17*G17/100</f>
        <v>2.7341706422876779</v>
      </c>
      <c r="L17" s="223">
        <f t="shared" si="3"/>
        <v>88185430</v>
      </c>
      <c r="M17" s="244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34"/>
    </row>
    <row r="18" spans="1:34" s="263" customFormat="1" ht="30.75" customHeight="1" x14ac:dyDescent="0.35">
      <c r="A18" s="241" t="s">
        <v>288</v>
      </c>
      <c r="B18" s="242"/>
      <c r="C18" s="243" t="s">
        <v>317</v>
      </c>
      <c r="D18" s="217">
        <v>19089800</v>
      </c>
      <c r="E18" s="217">
        <v>0</v>
      </c>
      <c r="F18" s="217">
        <f t="shared" si="4"/>
        <v>19089800</v>
      </c>
      <c r="G18" s="220">
        <f t="shared" si="5"/>
        <v>0.28019299440647244</v>
      </c>
      <c r="H18" s="219">
        <v>10219800</v>
      </c>
      <c r="I18" s="220">
        <f t="shared" si="6"/>
        <v>53.535395865855065</v>
      </c>
      <c r="J18" s="221">
        <f t="shared" ref="J18" si="7">I18</f>
        <v>53.535395865855065</v>
      </c>
      <c r="K18" s="222">
        <f>J18*G18/100</f>
        <v>0.15000242874389816</v>
      </c>
      <c r="L18" s="223">
        <f t="shared" si="3"/>
        <v>8870000</v>
      </c>
      <c r="M18" s="244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34"/>
    </row>
    <row r="19" spans="1:34" s="263" customFormat="1" ht="15" customHeight="1" x14ac:dyDescent="0.35">
      <c r="A19" s="241"/>
      <c r="B19" s="262"/>
      <c r="C19" s="243"/>
      <c r="D19" s="217"/>
      <c r="E19" s="217"/>
      <c r="F19" s="218"/>
      <c r="G19" s="220"/>
      <c r="H19" s="219"/>
      <c r="I19" s="220"/>
      <c r="J19" s="221"/>
      <c r="K19" s="222"/>
      <c r="L19" s="223"/>
      <c r="M19" s="244"/>
      <c r="O19" s="326"/>
      <c r="P19" s="326"/>
      <c r="Q19" s="326"/>
      <c r="R19" s="326"/>
      <c r="S19" s="326"/>
      <c r="T19" s="334"/>
      <c r="U19" s="334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34"/>
    </row>
    <row r="20" spans="1:34" s="263" customFormat="1" ht="16" customHeight="1" x14ac:dyDescent="0.35">
      <c r="A20" s="264" t="s">
        <v>231</v>
      </c>
      <c r="B20" s="259"/>
      <c r="C20" s="265" t="s">
        <v>193</v>
      </c>
      <c r="D20" s="229">
        <f>SUM(D21:D24)</f>
        <v>127531800</v>
      </c>
      <c r="E20" s="229"/>
      <c r="F20" s="229">
        <f>SUM(F21:F24)</f>
        <v>127531800</v>
      </c>
      <c r="G20" s="230"/>
      <c r="H20" s="231">
        <f>SUM(H21:H24)</f>
        <v>105388358</v>
      </c>
      <c r="I20" s="232"/>
      <c r="J20" s="231"/>
      <c r="K20" s="231"/>
      <c r="L20" s="230">
        <f>F20-H20</f>
        <v>22143442</v>
      </c>
      <c r="M20" s="266"/>
      <c r="O20" s="326"/>
      <c r="P20" s="326"/>
      <c r="Q20" s="326"/>
      <c r="R20" s="326"/>
      <c r="S20" s="326"/>
      <c r="T20" s="334"/>
      <c r="U20" s="334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34"/>
    </row>
    <row r="21" spans="1:34" s="263" customFormat="1" ht="35.15" customHeight="1" x14ac:dyDescent="0.35">
      <c r="A21" s="241" t="s">
        <v>232</v>
      </c>
      <c r="B21" s="242"/>
      <c r="C21" s="243" t="s">
        <v>42</v>
      </c>
      <c r="D21" s="219">
        <v>1968000</v>
      </c>
      <c r="E21" s="217">
        <v>0</v>
      </c>
      <c r="F21" s="217">
        <f>D21+E21</f>
        <v>1968000</v>
      </c>
      <c r="G21" s="220">
        <f>F21/$F$69*100</f>
        <v>2.8885573080489987E-2</v>
      </c>
      <c r="H21" s="219">
        <v>1457600</v>
      </c>
      <c r="I21" s="220">
        <f>H21/F21*100</f>
        <v>74.065040650406502</v>
      </c>
      <c r="J21" s="221">
        <f>I21</f>
        <v>74.065040650406502</v>
      </c>
      <c r="K21" s="222">
        <f>J21*G21/100</f>
        <v>2.1394111444167786E-2</v>
      </c>
      <c r="L21" s="223">
        <f t="shared" ref="L21:L24" si="8">F21-H21</f>
        <v>510400</v>
      </c>
      <c r="M21" s="267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34"/>
    </row>
    <row r="22" spans="1:34" s="263" customFormat="1" ht="16" customHeight="1" x14ac:dyDescent="0.35">
      <c r="A22" s="241" t="s">
        <v>241</v>
      </c>
      <c r="B22" s="242"/>
      <c r="C22" s="236" t="s">
        <v>194</v>
      </c>
      <c r="D22" s="219">
        <v>32694600</v>
      </c>
      <c r="E22" s="217">
        <v>0</v>
      </c>
      <c r="F22" s="217">
        <f>D22+E22</f>
        <v>32694600</v>
      </c>
      <c r="G22" s="220">
        <f t="shared" ref="G22:G24" si="9">F22/$F$69*100</f>
        <v>0.47987919595395728</v>
      </c>
      <c r="H22" s="219">
        <v>27339600</v>
      </c>
      <c r="I22" s="220">
        <f t="shared" ref="I22:I24" si="10">H22/F22*100</f>
        <v>83.621148446532459</v>
      </c>
      <c r="J22" s="221">
        <f t="shared" ref="J22:J24" si="11">I22</f>
        <v>83.621148446532459</v>
      </c>
      <c r="K22" s="222">
        <f>J22*G22/100</f>
        <v>0.40128049481268496</v>
      </c>
      <c r="L22" s="223">
        <f t="shared" si="8"/>
        <v>5355000</v>
      </c>
      <c r="M22" s="244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34"/>
    </row>
    <row r="23" spans="1:34" s="263" customFormat="1" ht="16" customHeight="1" x14ac:dyDescent="0.35">
      <c r="A23" s="241" t="s">
        <v>242</v>
      </c>
      <c r="B23" s="242"/>
      <c r="C23" s="243" t="s">
        <v>40</v>
      </c>
      <c r="D23" s="219">
        <v>11274200</v>
      </c>
      <c r="E23" s="217">
        <v>0</v>
      </c>
      <c r="F23" s="217">
        <f t="shared" ref="F23:F24" si="12">D23+E23</f>
        <v>11274200</v>
      </c>
      <c r="G23" s="220">
        <f t="shared" si="9"/>
        <v>0.16547852033742896</v>
      </c>
      <c r="H23" s="219">
        <v>8025000</v>
      </c>
      <c r="I23" s="220">
        <f t="shared" si="10"/>
        <v>71.1802167781306</v>
      </c>
      <c r="J23" s="221">
        <f t="shared" si="11"/>
        <v>71.1802167781306</v>
      </c>
      <c r="K23" s="222">
        <f>J23*G23/100</f>
        <v>0.11778796949742487</v>
      </c>
      <c r="L23" s="223">
        <f t="shared" si="8"/>
        <v>3249200</v>
      </c>
      <c r="M23" s="244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34"/>
    </row>
    <row r="24" spans="1:34" s="263" customFormat="1" ht="16" customHeight="1" x14ac:dyDescent="0.35">
      <c r="A24" s="241" t="s">
        <v>243</v>
      </c>
      <c r="B24" s="242"/>
      <c r="C24" s="243" t="s">
        <v>195</v>
      </c>
      <c r="D24" s="219">
        <v>81595000</v>
      </c>
      <c r="E24" s="217">
        <v>0</v>
      </c>
      <c r="F24" s="217">
        <f t="shared" si="12"/>
        <v>81595000</v>
      </c>
      <c r="G24" s="220">
        <f t="shared" si="9"/>
        <v>1.197621105438303</v>
      </c>
      <c r="H24" s="219">
        <v>68566158</v>
      </c>
      <c r="I24" s="220">
        <f t="shared" si="10"/>
        <v>84.032303449966292</v>
      </c>
      <c r="J24" s="221">
        <f t="shared" si="11"/>
        <v>84.032303449966292</v>
      </c>
      <c r="K24" s="222">
        <f>J24*G24/100</f>
        <v>1.0063886015027557</v>
      </c>
      <c r="L24" s="223">
        <f t="shared" si="8"/>
        <v>13028842</v>
      </c>
      <c r="M24" s="244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34"/>
    </row>
    <row r="25" spans="1:34" s="263" customFormat="1" ht="15" customHeight="1" x14ac:dyDescent="0.35">
      <c r="A25" s="268"/>
      <c r="B25" s="242"/>
      <c r="C25" s="236"/>
      <c r="D25" s="217"/>
      <c r="E25" s="217"/>
      <c r="F25" s="218"/>
      <c r="G25" s="220"/>
      <c r="H25" s="219"/>
      <c r="I25" s="220"/>
      <c r="J25" s="221"/>
      <c r="K25" s="222"/>
      <c r="L25" s="223"/>
      <c r="M25" s="244"/>
      <c r="O25" s="326"/>
      <c r="P25" s="326"/>
      <c r="Q25" s="326"/>
      <c r="R25" s="326"/>
      <c r="S25" s="326"/>
      <c r="T25" s="334"/>
      <c r="U25" s="334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34"/>
    </row>
    <row r="26" spans="1:34" s="263" customFormat="1" ht="35.15" customHeight="1" x14ac:dyDescent="0.35">
      <c r="A26" s="258" t="s">
        <v>281</v>
      </c>
      <c r="B26" s="259"/>
      <c r="C26" s="235" t="s">
        <v>282</v>
      </c>
      <c r="D26" s="229">
        <f>SUM(D27:D27)</f>
        <v>0</v>
      </c>
      <c r="E26" s="229">
        <f>E27</f>
        <v>0</v>
      </c>
      <c r="F26" s="229">
        <f>F27</f>
        <v>0</v>
      </c>
      <c r="G26" s="230"/>
      <c r="H26" s="231">
        <f>H27</f>
        <v>0</v>
      </c>
      <c r="I26" s="232"/>
      <c r="J26" s="231"/>
      <c r="K26" s="231"/>
      <c r="L26" s="230">
        <f>F26-H26</f>
        <v>0</v>
      </c>
      <c r="M26" s="261"/>
      <c r="O26" s="326"/>
      <c r="P26" s="326"/>
      <c r="Q26" s="326"/>
      <c r="R26" s="326"/>
      <c r="S26" s="326"/>
      <c r="T26" s="334"/>
      <c r="U26" s="334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34"/>
    </row>
    <row r="27" spans="1:34" s="263" customFormat="1" ht="16" customHeight="1" x14ac:dyDescent="0.35">
      <c r="A27" s="241" t="s">
        <v>283</v>
      </c>
      <c r="B27" s="242"/>
      <c r="C27" s="243" t="s">
        <v>284</v>
      </c>
      <c r="D27" s="217">
        <v>0</v>
      </c>
      <c r="E27" s="217">
        <v>0</v>
      </c>
      <c r="F27" s="217">
        <f>E27</f>
        <v>0</v>
      </c>
      <c r="G27" s="220">
        <f>F27/$F$69*100</f>
        <v>0</v>
      </c>
      <c r="H27" s="219">
        <v>0</v>
      </c>
      <c r="I27" s="220">
        <v>0</v>
      </c>
      <c r="J27" s="221">
        <f t="shared" ref="J27" si="13">I27</f>
        <v>0</v>
      </c>
      <c r="K27" s="222">
        <f>J27*G27/100</f>
        <v>0</v>
      </c>
      <c r="L27" s="223">
        <f>F27-H27</f>
        <v>0</v>
      </c>
      <c r="M27" s="244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34"/>
    </row>
    <row r="28" spans="1:34" s="263" customFormat="1" ht="15" customHeight="1" x14ac:dyDescent="0.35">
      <c r="A28" s="241"/>
      <c r="B28" s="262"/>
      <c r="C28" s="243"/>
      <c r="D28" s="217"/>
      <c r="E28" s="217"/>
      <c r="F28" s="218"/>
      <c r="G28" s="220"/>
      <c r="H28" s="219"/>
      <c r="I28" s="220"/>
      <c r="J28" s="221"/>
      <c r="K28" s="222"/>
      <c r="L28" s="223"/>
      <c r="M28" s="244"/>
      <c r="O28" s="326"/>
      <c r="P28" s="326"/>
      <c r="Q28" s="326"/>
      <c r="R28" s="326"/>
      <c r="S28" s="326"/>
      <c r="T28" s="334"/>
      <c r="U28" s="334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34"/>
    </row>
    <row r="29" spans="1:34" s="263" customFormat="1" ht="35.15" customHeight="1" x14ac:dyDescent="0.35">
      <c r="A29" s="258" t="s">
        <v>244</v>
      </c>
      <c r="B29" s="259"/>
      <c r="C29" s="235" t="s">
        <v>201</v>
      </c>
      <c r="D29" s="229">
        <f>SUM(D30:D31)</f>
        <v>58148040</v>
      </c>
      <c r="E29" s="229">
        <f>SUM(E30:E31)</f>
        <v>0</v>
      </c>
      <c r="F29" s="229">
        <f t="shared" si="0"/>
        <v>58148040</v>
      </c>
      <c r="G29" s="230"/>
      <c r="H29" s="231">
        <f>SUM(H30:H31)</f>
        <v>39113216</v>
      </c>
      <c r="I29" s="232"/>
      <c r="J29" s="231"/>
      <c r="K29" s="231"/>
      <c r="L29" s="230">
        <f>F29-H29</f>
        <v>19034824</v>
      </c>
      <c r="M29" s="261"/>
      <c r="O29" s="326"/>
      <c r="P29" s="326"/>
      <c r="Q29" s="326"/>
      <c r="R29" s="326"/>
      <c r="S29" s="326"/>
      <c r="T29" s="334"/>
      <c r="U29" s="334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34"/>
    </row>
    <row r="30" spans="1:34" s="263" customFormat="1" ht="16" customHeight="1" x14ac:dyDescent="0.35">
      <c r="A30" s="241" t="s">
        <v>290</v>
      </c>
      <c r="B30" s="242"/>
      <c r="C30" s="243" t="s">
        <v>291</v>
      </c>
      <c r="D30" s="217">
        <v>2496600</v>
      </c>
      <c r="E30" s="217">
        <v>0</v>
      </c>
      <c r="F30" s="217">
        <f t="shared" ref="F30" si="14">D30</f>
        <v>2496600</v>
      </c>
      <c r="G30" s="220">
        <f>F30/$F$69*100</f>
        <v>3.6644167557292329E-2</v>
      </c>
      <c r="H30" s="219">
        <v>1812600</v>
      </c>
      <c r="I30" s="220">
        <f>H30/F30*100</f>
        <v>72.602739726027394</v>
      </c>
      <c r="J30" s="221">
        <f t="shared" ref="J30" si="15">I30</f>
        <v>72.602739726027394</v>
      </c>
      <c r="K30" s="222">
        <f>J30*G30/100</f>
        <v>2.6604669596390317E-2</v>
      </c>
      <c r="L30" s="223">
        <f t="shared" ref="L30:L31" si="16">F30-H30</f>
        <v>684000</v>
      </c>
      <c r="M30" s="244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34"/>
    </row>
    <row r="31" spans="1:34" s="263" customFormat="1" ht="16" customHeight="1" x14ac:dyDescent="0.35">
      <c r="A31" s="241" t="s">
        <v>245</v>
      </c>
      <c r="B31" s="242"/>
      <c r="C31" s="243" t="s">
        <v>202</v>
      </c>
      <c r="D31" s="217">
        <v>55651440</v>
      </c>
      <c r="E31" s="217">
        <v>0</v>
      </c>
      <c r="F31" s="217">
        <f t="shared" si="0"/>
        <v>55651440</v>
      </c>
      <c r="G31" s="220">
        <f>F31/$F$69*100</f>
        <v>0.81683116725330474</v>
      </c>
      <c r="H31" s="219">
        <v>37300616</v>
      </c>
      <c r="I31" s="220">
        <f>H31/F31*100</f>
        <v>67.025428272835356</v>
      </c>
      <c r="J31" s="221">
        <f t="shared" ref="J31" si="17">I31</f>
        <v>67.025428272835356</v>
      </c>
      <c r="K31" s="222">
        <f>J31*G31/100</f>
        <v>0.54748458811752754</v>
      </c>
      <c r="L31" s="223">
        <f t="shared" si="16"/>
        <v>18350824</v>
      </c>
      <c r="M31" s="244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34"/>
    </row>
    <row r="32" spans="1:34" s="263" customFormat="1" ht="15" customHeight="1" x14ac:dyDescent="0.35">
      <c r="A32" s="241"/>
      <c r="B32" s="262"/>
      <c r="C32" s="243"/>
      <c r="D32" s="217"/>
      <c r="E32" s="217"/>
      <c r="F32" s="218"/>
      <c r="G32" s="220"/>
      <c r="H32" s="219"/>
      <c r="I32" s="220"/>
      <c r="J32" s="221"/>
      <c r="K32" s="222"/>
      <c r="L32" s="223"/>
      <c r="M32" s="244"/>
      <c r="O32" s="326"/>
      <c r="P32" s="326"/>
      <c r="Q32" s="326"/>
      <c r="R32" s="326"/>
      <c r="S32" s="326"/>
      <c r="T32" s="334"/>
      <c r="U32" s="334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34"/>
    </row>
    <row r="33" spans="1:34" s="263" customFormat="1" ht="35.15" customHeight="1" x14ac:dyDescent="0.35">
      <c r="A33" s="258" t="s">
        <v>246</v>
      </c>
      <c r="B33" s="259"/>
      <c r="C33" s="235" t="s">
        <v>203</v>
      </c>
      <c r="D33" s="229">
        <f>SUM(D34:D35)</f>
        <v>139063600</v>
      </c>
      <c r="E33" s="229">
        <f>SUM(E34:E35)</f>
        <v>0</v>
      </c>
      <c r="F33" s="229">
        <f>SUM(F34:F35)</f>
        <v>139063600</v>
      </c>
      <c r="G33" s="230"/>
      <c r="H33" s="231">
        <f>SUM(H34:H35)</f>
        <v>98096200</v>
      </c>
      <c r="I33" s="232"/>
      <c r="J33" s="231"/>
      <c r="K33" s="231"/>
      <c r="L33" s="230">
        <f>F33-H33</f>
        <v>40967400</v>
      </c>
      <c r="M33" s="261"/>
      <c r="O33" s="326"/>
      <c r="P33" s="326"/>
      <c r="Q33" s="326"/>
      <c r="R33" s="326"/>
      <c r="S33" s="326"/>
      <c r="T33" s="334"/>
      <c r="U33" s="334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34"/>
    </row>
    <row r="34" spans="1:34" s="263" customFormat="1" ht="30.75" customHeight="1" x14ac:dyDescent="0.35">
      <c r="A34" s="241" t="s">
        <v>247</v>
      </c>
      <c r="B34" s="242"/>
      <c r="C34" s="243" t="s">
        <v>308</v>
      </c>
      <c r="D34" s="217">
        <v>137843600</v>
      </c>
      <c r="E34" s="217">
        <v>0</v>
      </c>
      <c r="F34" s="217">
        <f>D34+E34</f>
        <v>137843600</v>
      </c>
      <c r="G34" s="220">
        <f>F34/$F$69*100</f>
        <v>2.0232171653850757</v>
      </c>
      <c r="H34" s="219">
        <v>96876200</v>
      </c>
      <c r="I34" s="220">
        <f t="shared" ref="I34:I35" si="18">H34/F34*100</f>
        <v>70.279795362280154</v>
      </c>
      <c r="J34" s="221">
        <f t="shared" ref="J34:J35" si="19">I34</f>
        <v>70.279795362280154</v>
      </c>
      <c r="K34" s="222">
        <f>J34*G34/100</f>
        <v>1.4219128835671564</v>
      </c>
      <c r="L34" s="223">
        <f t="shared" ref="L34:L35" si="20">F34-H34</f>
        <v>40967400</v>
      </c>
      <c r="M34" s="244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34"/>
    </row>
    <row r="35" spans="1:34" s="263" customFormat="1" ht="35.15" customHeight="1" x14ac:dyDescent="0.35">
      <c r="A35" s="241" t="s">
        <v>248</v>
      </c>
      <c r="B35" s="242"/>
      <c r="C35" s="243" t="s">
        <v>285</v>
      </c>
      <c r="D35" s="217">
        <v>1220000</v>
      </c>
      <c r="E35" s="217">
        <v>0</v>
      </c>
      <c r="F35" s="217">
        <f>D35+E35</f>
        <v>1220000</v>
      </c>
      <c r="G35" s="220">
        <f>F35/$F$69*100</f>
        <v>1.790670688932814E-2</v>
      </c>
      <c r="H35" s="219">
        <v>1220000</v>
      </c>
      <c r="I35" s="220">
        <f t="shared" si="18"/>
        <v>100</v>
      </c>
      <c r="J35" s="221">
        <f t="shared" si="19"/>
        <v>100</v>
      </c>
      <c r="K35" s="222">
        <f>J35*G35/100</f>
        <v>1.790670688932814E-2</v>
      </c>
      <c r="L35" s="223">
        <f t="shared" si="20"/>
        <v>0</v>
      </c>
      <c r="M35" s="244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34"/>
    </row>
    <row r="36" spans="1:34" s="263" customFormat="1" ht="35.15" customHeight="1" x14ac:dyDescent="0.35">
      <c r="A36" s="255" t="s">
        <v>263</v>
      </c>
      <c r="B36" s="256"/>
      <c r="C36" s="234" t="s">
        <v>264</v>
      </c>
      <c r="D36" s="225">
        <f>SUM(D37,D40)</f>
        <v>374940000</v>
      </c>
      <c r="E36" s="225">
        <f>SUM(E37,E40)</f>
        <v>0</v>
      </c>
      <c r="F36" s="225">
        <f>SUM(F37,F40)</f>
        <v>374940000</v>
      </c>
      <c r="G36" s="226"/>
      <c r="H36" s="227">
        <f>H37+H40</f>
        <v>292060000</v>
      </c>
      <c r="I36" s="228"/>
      <c r="J36" s="227"/>
      <c r="K36" s="227"/>
      <c r="L36" s="226">
        <f>F36-H36</f>
        <v>82880000</v>
      </c>
      <c r="M36" s="257"/>
      <c r="O36" s="326"/>
      <c r="P36" s="326"/>
      <c r="Q36" s="326"/>
      <c r="R36" s="326"/>
      <c r="S36" s="326"/>
      <c r="T36" s="334"/>
      <c r="U36" s="334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34"/>
    </row>
    <row r="37" spans="1:34" s="263" customFormat="1" ht="50.15" customHeight="1" x14ac:dyDescent="0.35">
      <c r="A37" s="258" t="s">
        <v>258</v>
      </c>
      <c r="B37" s="259"/>
      <c r="C37" s="235" t="s">
        <v>205</v>
      </c>
      <c r="D37" s="229">
        <f>SUM(D38:D38)</f>
        <v>207120000</v>
      </c>
      <c r="E37" s="229">
        <f>SUM(E38:E38)</f>
        <v>0</v>
      </c>
      <c r="F37" s="229">
        <f>F38</f>
        <v>207120000</v>
      </c>
      <c r="G37" s="230"/>
      <c r="H37" s="231">
        <f>SUM(H38:H38)</f>
        <v>146030000</v>
      </c>
      <c r="I37" s="232"/>
      <c r="J37" s="231"/>
      <c r="K37" s="231"/>
      <c r="L37" s="230">
        <f>F37-H37</f>
        <v>61090000</v>
      </c>
      <c r="M37" s="260"/>
      <c r="O37" s="326"/>
      <c r="P37" s="326"/>
      <c r="Q37" s="326"/>
      <c r="R37" s="326"/>
      <c r="S37" s="326"/>
      <c r="T37" s="334"/>
      <c r="U37" s="334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34"/>
    </row>
    <row r="38" spans="1:34" s="263" customFormat="1" ht="31.5" customHeight="1" x14ac:dyDescent="0.35">
      <c r="A38" s="241" t="s">
        <v>274</v>
      </c>
      <c r="B38" s="262"/>
      <c r="C38" s="236" t="s">
        <v>206</v>
      </c>
      <c r="D38" s="217">
        <v>207120000</v>
      </c>
      <c r="E38" s="217">
        <v>0</v>
      </c>
      <c r="F38" s="217">
        <f>D38+E38</f>
        <v>207120000</v>
      </c>
      <c r="G38" s="220">
        <f>F38/$F$69*100</f>
        <v>3.0400304351783971</v>
      </c>
      <c r="H38" s="219">
        <v>146030000</v>
      </c>
      <c r="I38" s="220">
        <f>H38/F38*100</f>
        <v>70.505021243723448</v>
      </c>
      <c r="J38" s="221">
        <f t="shared" ref="J38" si="21">I38</f>
        <v>70.505021243723448</v>
      </c>
      <c r="K38" s="222">
        <f>J38*G38/100</f>
        <v>2.1433741041381875</v>
      </c>
      <c r="L38" s="223">
        <f>F38-H38</f>
        <v>61090000</v>
      </c>
      <c r="M38" s="244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34"/>
    </row>
    <row r="39" spans="1:34" s="263" customFormat="1" ht="15" customHeight="1" x14ac:dyDescent="0.35">
      <c r="A39" s="241"/>
      <c r="B39" s="262"/>
      <c r="C39" s="236"/>
      <c r="D39" s="217"/>
      <c r="E39" s="217"/>
      <c r="F39" s="218"/>
      <c r="G39" s="220"/>
      <c r="H39" s="219"/>
      <c r="I39" s="220"/>
      <c r="J39" s="221"/>
      <c r="K39" s="222"/>
      <c r="L39" s="223"/>
      <c r="M39" s="244"/>
      <c r="O39" s="326"/>
      <c r="P39" s="326"/>
      <c r="Q39" s="326"/>
      <c r="R39" s="326"/>
      <c r="S39" s="326"/>
      <c r="T39" s="334"/>
      <c r="U39" s="334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34"/>
    </row>
    <row r="40" spans="1:34" s="263" customFormat="1" ht="35.15" customHeight="1" x14ac:dyDescent="0.35">
      <c r="A40" s="258" t="s">
        <v>259</v>
      </c>
      <c r="B40" s="259"/>
      <c r="C40" s="235" t="s">
        <v>207</v>
      </c>
      <c r="D40" s="229">
        <f>SUM(D41:D41)</f>
        <v>167820000</v>
      </c>
      <c r="E40" s="229">
        <f>SUM(E41:E41)</f>
        <v>0</v>
      </c>
      <c r="F40" s="229">
        <f>F41</f>
        <v>167820000</v>
      </c>
      <c r="G40" s="230"/>
      <c r="H40" s="231">
        <f>H41</f>
        <v>146030000</v>
      </c>
      <c r="I40" s="232"/>
      <c r="J40" s="231"/>
      <c r="K40" s="231"/>
      <c r="L40" s="230">
        <f>F40-H40</f>
        <v>21790000</v>
      </c>
      <c r="M40" s="260"/>
      <c r="O40" s="326"/>
      <c r="P40" s="326"/>
      <c r="Q40" s="326"/>
      <c r="R40" s="326"/>
      <c r="S40" s="326"/>
      <c r="T40" s="334"/>
      <c r="U40" s="334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34"/>
    </row>
    <row r="41" spans="1:34" s="263" customFormat="1" ht="35.15" customHeight="1" x14ac:dyDescent="0.35">
      <c r="A41" s="241" t="s">
        <v>260</v>
      </c>
      <c r="B41" s="262"/>
      <c r="C41" s="236" t="s">
        <v>208</v>
      </c>
      <c r="D41" s="217">
        <v>167820000</v>
      </c>
      <c r="E41" s="217">
        <v>0</v>
      </c>
      <c r="F41" s="217">
        <f>D41+E41</f>
        <v>167820000</v>
      </c>
      <c r="G41" s="220">
        <f>F41/$F$69*100</f>
        <v>2.4631996312844664</v>
      </c>
      <c r="H41" s="219">
        <v>146030000</v>
      </c>
      <c r="I41" s="220">
        <f>H41/F41*100</f>
        <v>87.015850315814561</v>
      </c>
      <c r="J41" s="221">
        <f t="shared" ref="J41" si="22">I41</f>
        <v>87.015850315814561</v>
      </c>
      <c r="K41" s="222">
        <f>J41*G41/100</f>
        <v>2.1433741041381875</v>
      </c>
      <c r="L41" s="223">
        <f>F41-H41</f>
        <v>21790000</v>
      </c>
      <c r="M41" s="244"/>
      <c r="O41" s="326"/>
      <c r="P41" s="326"/>
      <c r="Q41" s="326"/>
      <c r="R41" s="326"/>
      <c r="S41" s="326"/>
      <c r="T41" s="334"/>
      <c r="U41" s="334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34"/>
    </row>
    <row r="42" spans="1:34" s="263" customFormat="1" ht="15" customHeight="1" x14ac:dyDescent="0.35">
      <c r="A42" s="241"/>
      <c r="B42" s="262"/>
      <c r="C42" s="236"/>
      <c r="D42" s="217"/>
      <c r="E42" s="217"/>
      <c r="F42" s="218"/>
      <c r="G42" s="220"/>
      <c r="H42" s="219"/>
      <c r="I42" s="220"/>
      <c r="J42" s="221"/>
      <c r="K42" s="222"/>
      <c r="L42" s="223"/>
      <c r="M42" s="244"/>
      <c r="O42" s="326"/>
      <c r="P42" s="326"/>
      <c r="Q42" s="326"/>
      <c r="R42" s="326"/>
      <c r="S42" s="326"/>
      <c r="T42" s="334"/>
      <c r="U42" s="334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34"/>
    </row>
    <row r="43" spans="1:34" s="263" customFormat="1" ht="35.15" customHeight="1" x14ac:dyDescent="0.35">
      <c r="A43" s="255" t="s">
        <v>265</v>
      </c>
      <c r="B43" s="256"/>
      <c r="C43" s="234" t="s">
        <v>266</v>
      </c>
      <c r="D43" s="225">
        <f>SUM(D44)</f>
        <v>151002500</v>
      </c>
      <c r="E43" s="225">
        <f>SUM(E44)</f>
        <v>0</v>
      </c>
      <c r="F43" s="225">
        <f>F44</f>
        <v>151002500</v>
      </c>
      <c r="G43" s="226"/>
      <c r="H43" s="227">
        <f>H44</f>
        <v>121098000</v>
      </c>
      <c r="I43" s="228"/>
      <c r="J43" s="227"/>
      <c r="K43" s="227"/>
      <c r="L43" s="226">
        <f>F43-H43</f>
        <v>29904500</v>
      </c>
      <c r="M43" s="257"/>
      <c r="O43" s="326"/>
      <c r="P43" s="326"/>
      <c r="Q43" s="326"/>
      <c r="R43" s="326"/>
      <c r="S43" s="326"/>
      <c r="T43" s="334"/>
      <c r="U43" s="334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34"/>
    </row>
    <row r="44" spans="1:34" s="263" customFormat="1" ht="16" customHeight="1" x14ac:dyDescent="0.35">
      <c r="A44" s="258" t="s">
        <v>228</v>
      </c>
      <c r="B44" s="259"/>
      <c r="C44" s="235" t="s">
        <v>209</v>
      </c>
      <c r="D44" s="229">
        <f>SUM(D45:D46)</f>
        <v>151002500</v>
      </c>
      <c r="E44" s="229">
        <f>SUM(E45:E46)</f>
        <v>0</v>
      </c>
      <c r="F44" s="229">
        <f>SUM(F45:F46)</f>
        <v>151002500</v>
      </c>
      <c r="G44" s="230"/>
      <c r="H44" s="231">
        <f>SUM(H45:H46)</f>
        <v>121098000</v>
      </c>
      <c r="I44" s="232"/>
      <c r="J44" s="231"/>
      <c r="K44" s="231"/>
      <c r="L44" s="230">
        <f>F44-H44</f>
        <v>29904500</v>
      </c>
      <c r="M44" s="260"/>
      <c r="O44" s="326"/>
      <c r="P44" s="326"/>
      <c r="Q44" s="326"/>
      <c r="R44" s="326"/>
      <c r="S44" s="326"/>
      <c r="T44" s="334"/>
      <c r="U44" s="334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34"/>
    </row>
    <row r="45" spans="1:34" s="263" customFormat="1" ht="35.15" customHeight="1" x14ac:dyDescent="0.35">
      <c r="A45" s="241" t="s">
        <v>229</v>
      </c>
      <c r="B45" s="262"/>
      <c r="C45" s="236" t="s">
        <v>210</v>
      </c>
      <c r="D45" s="217">
        <v>19827000</v>
      </c>
      <c r="E45" s="217">
        <v>0</v>
      </c>
      <c r="F45" s="217">
        <f>D45+E45</f>
        <v>19827000</v>
      </c>
      <c r="G45" s="220">
        <f>F45/$F$69*100</f>
        <v>0.29101334220877795</v>
      </c>
      <c r="H45" s="219">
        <v>19774000</v>
      </c>
      <c r="I45" s="220">
        <f t="shared" ref="I45:I46" si="23">H45/F45*100</f>
        <v>99.732687749029097</v>
      </c>
      <c r="J45" s="221">
        <f t="shared" ref="J45:J46" si="24">I45</f>
        <v>99.732687749029097</v>
      </c>
      <c r="K45" s="222">
        <f>J45*G45/100</f>
        <v>0.29023542789309398</v>
      </c>
      <c r="L45" s="223">
        <f t="shared" ref="L45:L46" si="25">F45-H45</f>
        <v>53000</v>
      </c>
      <c r="M45" s="244"/>
      <c r="O45" s="326"/>
      <c r="P45" s="326"/>
      <c r="Q45" s="326"/>
      <c r="R45" s="326"/>
      <c r="S45" s="326"/>
      <c r="T45" s="334"/>
      <c r="U45" s="334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34"/>
    </row>
    <row r="46" spans="1:34" s="263" customFormat="1" ht="35.15" customHeight="1" x14ac:dyDescent="0.35">
      <c r="A46" s="241" t="s">
        <v>230</v>
      </c>
      <c r="B46" s="262"/>
      <c r="C46" s="236" t="s">
        <v>211</v>
      </c>
      <c r="D46" s="217">
        <v>131175500</v>
      </c>
      <c r="E46" s="217">
        <v>0</v>
      </c>
      <c r="F46" s="217">
        <f>D46+E46</f>
        <v>131175500</v>
      </c>
      <c r="G46" s="220">
        <f>F46/$F$69*100</f>
        <v>1.9253452701320193</v>
      </c>
      <c r="H46" s="219">
        <v>101324000</v>
      </c>
      <c r="I46" s="220">
        <f t="shared" si="23"/>
        <v>77.243082740298306</v>
      </c>
      <c r="J46" s="221">
        <f t="shared" si="24"/>
        <v>77.243082740298306</v>
      </c>
      <c r="K46" s="222">
        <f>J46*G46/100</f>
        <v>1.4871960400444957</v>
      </c>
      <c r="L46" s="223">
        <f t="shared" si="25"/>
        <v>29851500</v>
      </c>
      <c r="M46" s="244"/>
      <c r="O46" s="326"/>
      <c r="P46" s="326"/>
      <c r="Q46" s="326"/>
      <c r="R46" s="326"/>
      <c r="S46" s="326"/>
      <c r="T46" s="334"/>
      <c r="U46" s="334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34"/>
    </row>
    <row r="47" spans="1:34" s="263" customFormat="1" ht="15" customHeight="1" x14ac:dyDescent="0.35">
      <c r="A47" s="241"/>
      <c r="B47" s="262"/>
      <c r="C47" s="236"/>
      <c r="D47" s="217"/>
      <c r="E47" s="217"/>
      <c r="F47" s="218"/>
      <c r="G47" s="220"/>
      <c r="H47" s="219"/>
      <c r="I47" s="220"/>
      <c r="J47" s="221"/>
      <c r="K47" s="222"/>
      <c r="L47" s="223"/>
      <c r="M47" s="244"/>
      <c r="O47" s="326"/>
      <c r="P47" s="326"/>
      <c r="Q47" s="326"/>
      <c r="R47" s="326"/>
      <c r="S47" s="326"/>
      <c r="T47" s="334"/>
      <c r="U47" s="334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34"/>
    </row>
    <row r="48" spans="1:34" s="263" customFormat="1" ht="35.15" customHeight="1" x14ac:dyDescent="0.35">
      <c r="A48" s="255" t="s">
        <v>267</v>
      </c>
      <c r="B48" s="256"/>
      <c r="C48" s="234" t="s">
        <v>268</v>
      </c>
      <c r="D48" s="225">
        <f>SUM(D49,D53)</f>
        <v>297460000</v>
      </c>
      <c r="E48" s="225">
        <f>SUM(E49,E53)</f>
        <v>0</v>
      </c>
      <c r="F48" s="225">
        <f>SUM(F49,F53)</f>
        <v>297460000</v>
      </c>
      <c r="G48" s="226"/>
      <c r="H48" s="355">
        <f>SUM(H49,H53)</f>
        <v>210318000</v>
      </c>
      <c r="I48" s="228"/>
      <c r="J48" s="227"/>
      <c r="K48" s="227"/>
      <c r="L48" s="226">
        <f>F48-H48</f>
        <v>87142000</v>
      </c>
      <c r="M48" s="257"/>
      <c r="O48" s="326"/>
      <c r="P48" s="326"/>
      <c r="Q48" s="326"/>
      <c r="R48" s="326"/>
      <c r="S48" s="326"/>
      <c r="T48" s="334"/>
      <c r="U48" s="334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34"/>
    </row>
    <row r="49" spans="1:34" s="263" customFormat="1" ht="35.15" customHeight="1" x14ac:dyDescent="0.35">
      <c r="A49" s="258" t="s">
        <v>250</v>
      </c>
      <c r="B49" s="259"/>
      <c r="C49" s="235" t="s">
        <v>212</v>
      </c>
      <c r="D49" s="229">
        <f>SUM(D50:D51)</f>
        <v>23860000</v>
      </c>
      <c r="E49" s="229">
        <f>SUM(E50:E50)</f>
        <v>0</v>
      </c>
      <c r="F49" s="229">
        <f>SUM(F50:F51)</f>
        <v>23860000</v>
      </c>
      <c r="G49" s="230"/>
      <c r="H49" s="231">
        <f>SUM(H50:H51)</f>
        <v>19828000</v>
      </c>
      <c r="I49" s="232"/>
      <c r="J49" s="231"/>
      <c r="K49" s="231"/>
      <c r="L49" s="230">
        <f>F49-H49</f>
        <v>4032000</v>
      </c>
      <c r="M49" s="260"/>
      <c r="O49" s="326"/>
      <c r="P49" s="326"/>
      <c r="Q49" s="326"/>
      <c r="R49" s="326"/>
      <c r="S49" s="326"/>
      <c r="T49" s="334"/>
      <c r="U49" s="334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34"/>
    </row>
    <row r="50" spans="1:34" s="263" customFormat="1" ht="50.15" customHeight="1" x14ac:dyDescent="0.35">
      <c r="A50" s="241" t="s">
        <v>252</v>
      </c>
      <c r="B50" s="262"/>
      <c r="C50" s="236" t="s">
        <v>286</v>
      </c>
      <c r="D50" s="217">
        <v>12660000</v>
      </c>
      <c r="E50" s="217">
        <v>0</v>
      </c>
      <c r="F50" s="217">
        <f>D50+E50</f>
        <v>12660000</v>
      </c>
      <c r="G50" s="220">
        <f>F50/$F$69*100</f>
        <v>0.18581877804827399</v>
      </c>
      <c r="H50" s="219">
        <v>8628000</v>
      </c>
      <c r="I50" s="220">
        <f>H50/F50*100</f>
        <v>68.151658767772517</v>
      </c>
      <c r="J50" s="221">
        <f t="shared" ref="J50" si="26">I50</f>
        <v>68.151658767772517</v>
      </c>
      <c r="K50" s="222">
        <f>J50*G50/100</f>
        <v>0.12663857954190427</v>
      </c>
      <c r="L50" s="223">
        <f>F50-H50</f>
        <v>4032000</v>
      </c>
      <c r="M50" s="244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34"/>
    </row>
    <row r="51" spans="1:34" s="263" customFormat="1" ht="35.15" customHeight="1" x14ac:dyDescent="0.35">
      <c r="A51" s="241" t="s">
        <v>292</v>
      </c>
      <c r="B51" s="262"/>
      <c r="C51" s="236" t="s">
        <v>213</v>
      </c>
      <c r="D51" s="217">
        <v>11200000</v>
      </c>
      <c r="E51" s="217">
        <v>0</v>
      </c>
      <c r="F51" s="217">
        <f>D51</f>
        <v>11200000</v>
      </c>
      <c r="G51" s="220">
        <f>F51/$F$69*100</f>
        <v>0.16438944029547148</v>
      </c>
      <c r="H51" s="219">
        <v>11200000</v>
      </c>
      <c r="I51" s="220">
        <f>H51/F51*100</f>
        <v>100</v>
      </c>
      <c r="J51" s="221">
        <f t="shared" ref="J51" si="27">I51</f>
        <v>100</v>
      </c>
      <c r="K51" s="222">
        <f>J51*G51/100</f>
        <v>0.16438944029547148</v>
      </c>
      <c r="L51" s="223">
        <f>F51-H51</f>
        <v>0</v>
      </c>
      <c r="M51" s="244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34"/>
    </row>
    <row r="52" spans="1:34" s="263" customFormat="1" ht="15" customHeight="1" x14ac:dyDescent="0.35">
      <c r="A52" s="241"/>
      <c r="B52" s="262"/>
      <c r="C52" s="236"/>
      <c r="D52" s="217"/>
      <c r="E52" s="217"/>
      <c r="F52" s="218"/>
      <c r="G52" s="220"/>
      <c r="H52" s="219"/>
      <c r="I52" s="220"/>
      <c r="J52" s="221"/>
      <c r="K52" s="222"/>
      <c r="L52" s="223"/>
      <c r="M52" s="244"/>
      <c r="O52" s="326"/>
      <c r="P52" s="326"/>
      <c r="Q52" s="326"/>
      <c r="R52" s="326"/>
      <c r="S52" s="326"/>
      <c r="T52" s="334"/>
      <c r="U52" s="334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34"/>
    </row>
    <row r="53" spans="1:34" s="263" customFormat="1" ht="35.15" customHeight="1" x14ac:dyDescent="0.35">
      <c r="A53" s="258" t="s">
        <v>251</v>
      </c>
      <c r="B53" s="259"/>
      <c r="C53" s="235" t="s">
        <v>214</v>
      </c>
      <c r="D53" s="229">
        <f>SUM(D54)</f>
        <v>273600000</v>
      </c>
      <c r="E53" s="229">
        <f>SUM(E54)</f>
        <v>0</v>
      </c>
      <c r="F53" s="229">
        <f>F54</f>
        <v>273600000</v>
      </c>
      <c r="G53" s="230"/>
      <c r="H53" s="231">
        <f>H54</f>
        <v>190490000</v>
      </c>
      <c r="I53" s="232"/>
      <c r="J53" s="231"/>
      <c r="K53" s="231"/>
      <c r="L53" s="230">
        <f>F53-H53</f>
        <v>83110000</v>
      </c>
      <c r="M53" s="260"/>
      <c r="O53" s="326"/>
      <c r="P53" s="326"/>
      <c r="Q53" s="326"/>
      <c r="R53" s="326"/>
      <c r="S53" s="326"/>
      <c r="T53" s="334"/>
      <c r="U53" s="334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34"/>
    </row>
    <row r="54" spans="1:34" s="263" customFormat="1" ht="50.15" customHeight="1" x14ac:dyDescent="0.35">
      <c r="A54" s="241" t="s">
        <v>249</v>
      </c>
      <c r="B54" s="262"/>
      <c r="C54" s="236" t="s">
        <v>332</v>
      </c>
      <c r="D54" s="217">
        <v>273600000</v>
      </c>
      <c r="E54" s="217">
        <v>0</v>
      </c>
      <c r="F54" s="217">
        <f>D54+E54</f>
        <v>273600000</v>
      </c>
      <c r="G54" s="220">
        <f>F54/$F$69*100</f>
        <v>4.0157991843608025</v>
      </c>
      <c r="H54" s="219">
        <v>190490000</v>
      </c>
      <c r="I54" s="220">
        <f>H54/F54*100</f>
        <v>69.623538011695913</v>
      </c>
      <c r="J54" s="221">
        <f t="shared" ref="J54" si="28">I54</f>
        <v>69.623538011695913</v>
      </c>
      <c r="K54" s="222">
        <f>J54*G54/100</f>
        <v>2.7959414715968176</v>
      </c>
      <c r="L54" s="223">
        <f>F54-H54</f>
        <v>83110000</v>
      </c>
      <c r="M54" s="244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34"/>
    </row>
    <row r="55" spans="1:34" s="263" customFormat="1" ht="15" customHeight="1" x14ac:dyDescent="0.35">
      <c r="A55" s="241"/>
      <c r="B55" s="262"/>
      <c r="C55" s="236"/>
      <c r="D55" s="217"/>
      <c r="E55" s="217"/>
      <c r="F55" s="218"/>
      <c r="G55" s="220"/>
      <c r="H55" s="219"/>
      <c r="I55" s="220"/>
      <c r="J55" s="221"/>
      <c r="K55" s="222"/>
      <c r="L55" s="223"/>
      <c r="M55" s="244"/>
      <c r="O55" s="326"/>
      <c r="P55" s="326"/>
      <c r="Q55" s="326"/>
      <c r="R55" s="326"/>
      <c r="S55" s="326"/>
      <c r="T55" s="334"/>
      <c r="U55" s="334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34"/>
    </row>
    <row r="56" spans="1:34" s="263" customFormat="1" ht="35.15" customHeight="1" x14ac:dyDescent="0.35">
      <c r="A56" s="255" t="s">
        <v>269</v>
      </c>
      <c r="B56" s="256"/>
      <c r="C56" s="234" t="s">
        <v>270</v>
      </c>
      <c r="D56" s="225">
        <f>SUM(D57:D57)</f>
        <v>53410000</v>
      </c>
      <c r="E56" s="225">
        <f>SUM(E57:E57)</f>
        <v>0</v>
      </c>
      <c r="F56" s="225">
        <f>F57</f>
        <v>53410000</v>
      </c>
      <c r="G56" s="226"/>
      <c r="H56" s="227">
        <f>H57</f>
        <v>25470000</v>
      </c>
      <c r="I56" s="228"/>
      <c r="J56" s="227"/>
      <c r="K56" s="227"/>
      <c r="L56" s="226">
        <f>F56-H56</f>
        <v>27940000</v>
      </c>
      <c r="M56" s="257"/>
      <c r="O56" s="326"/>
      <c r="P56" s="326"/>
      <c r="Q56" s="326"/>
      <c r="R56" s="326"/>
      <c r="S56" s="326"/>
      <c r="T56" s="334"/>
      <c r="U56" s="334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34"/>
    </row>
    <row r="57" spans="1:34" s="263" customFormat="1" ht="35.15" customHeight="1" x14ac:dyDescent="0.35">
      <c r="A57" s="258" t="s">
        <v>254</v>
      </c>
      <c r="B57" s="259"/>
      <c r="C57" s="235" t="s">
        <v>253</v>
      </c>
      <c r="D57" s="229">
        <f>SUM(D58:D60)</f>
        <v>53410000</v>
      </c>
      <c r="E57" s="229">
        <f>SUM(E58:E60)</f>
        <v>0</v>
      </c>
      <c r="F57" s="229">
        <f>SUM(F58:F60)</f>
        <v>53410000</v>
      </c>
      <c r="G57" s="230"/>
      <c r="H57" s="231">
        <f>SUM(H58:H60)</f>
        <v>25470000</v>
      </c>
      <c r="I57" s="232"/>
      <c r="J57" s="231"/>
      <c r="K57" s="231"/>
      <c r="L57" s="230">
        <f>F57-H57</f>
        <v>27940000</v>
      </c>
      <c r="M57" s="260"/>
      <c r="O57" s="326"/>
      <c r="P57" s="326"/>
      <c r="Q57" s="326"/>
      <c r="R57" s="326"/>
      <c r="S57" s="326"/>
      <c r="T57" s="334"/>
      <c r="U57" s="334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34"/>
    </row>
    <row r="58" spans="1:34" s="263" customFormat="1" ht="95.25" customHeight="1" x14ac:dyDescent="0.35">
      <c r="A58" s="241" t="s">
        <v>255</v>
      </c>
      <c r="B58" s="262"/>
      <c r="C58" s="236" t="s">
        <v>216</v>
      </c>
      <c r="D58" s="217">
        <v>22610000</v>
      </c>
      <c r="E58" s="217">
        <v>0</v>
      </c>
      <c r="F58" s="217">
        <f>D58+E58</f>
        <v>22610000</v>
      </c>
      <c r="G58" s="220">
        <f>F58/$F$69*100</f>
        <v>0.33186118259648301</v>
      </c>
      <c r="H58" s="219">
        <v>21870000</v>
      </c>
      <c r="I58" s="220">
        <f t="shared" ref="I58:I60" si="29">H58/F58*100</f>
        <v>96.727111897390543</v>
      </c>
      <c r="J58" s="221">
        <f t="shared" ref="J58:J60" si="30">I58</f>
        <v>96.727111897390543</v>
      </c>
      <c r="K58" s="222">
        <f>J58*G58/100</f>
        <v>0.32099973743410365</v>
      </c>
      <c r="L58" s="223">
        <f t="shared" ref="L58:L60" si="31">F58-H58</f>
        <v>740000</v>
      </c>
      <c r="M58" s="244"/>
      <c r="O58" s="326"/>
      <c r="P58" s="326"/>
      <c r="Q58" s="326"/>
      <c r="R58" s="326"/>
      <c r="S58" s="326"/>
      <c r="T58" s="334"/>
      <c r="U58" s="334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34"/>
    </row>
    <row r="59" spans="1:34" s="263" customFormat="1" ht="50.15" customHeight="1" x14ac:dyDescent="0.35">
      <c r="A59" s="241" t="s">
        <v>256</v>
      </c>
      <c r="B59" s="262"/>
      <c r="C59" s="236" t="s">
        <v>217</v>
      </c>
      <c r="D59" s="217">
        <v>16740000</v>
      </c>
      <c r="E59" s="217">
        <v>0</v>
      </c>
      <c r="F59" s="217">
        <f t="shared" ref="F59:F60" si="32">D59+E59</f>
        <v>16740000</v>
      </c>
      <c r="G59" s="220">
        <f t="shared" ref="G59:G60" si="33">F59/$F$69*100</f>
        <v>0.2457035027273386</v>
      </c>
      <c r="H59" s="219">
        <v>0</v>
      </c>
      <c r="I59" s="220">
        <f t="shared" si="29"/>
        <v>0</v>
      </c>
      <c r="J59" s="221">
        <f t="shared" si="30"/>
        <v>0</v>
      </c>
      <c r="K59" s="222">
        <f>J59*G59/100</f>
        <v>0</v>
      </c>
      <c r="L59" s="223">
        <f t="shared" si="31"/>
        <v>16740000</v>
      </c>
      <c r="M59" s="244"/>
      <c r="O59" s="326"/>
      <c r="P59" s="326"/>
      <c r="Q59" s="326"/>
      <c r="R59" s="326"/>
      <c r="S59" s="326"/>
      <c r="T59" s="334"/>
      <c r="U59" s="334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34"/>
    </row>
    <row r="60" spans="1:34" s="263" customFormat="1" ht="50.15" customHeight="1" x14ac:dyDescent="0.35">
      <c r="A60" s="241" t="s">
        <v>257</v>
      </c>
      <c r="B60" s="262"/>
      <c r="C60" s="236" t="s">
        <v>218</v>
      </c>
      <c r="D60" s="217">
        <v>14060000</v>
      </c>
      <c r="E60" s="217">
        <v>0</v>
      </c>
      <c r="F60" s="217">
        <f t="shared" si="32"/>
        <v>14060000</v>
      </c>
      <c r="G60" s="220">
        <f t="shared" si="33"/>
        <v>0.20636745808520793</v>
      </c>
      <c r="H60" s="219">
        <v>3600000</v>
      </c>
      <c r="I60" s="220">
        <f t="shared" si="29"/>
        <v>25.604551920341397</v>
      </c>
      <c r="J60" s="221">
        <f t="shared" si="30"/>
        <v>25.604551920341397</v>
      </c>
      <c r="K60" s="222">
        <f>J60*G60/100</f>
        <v>5.2839462952115834E-2</v>
      </c>
      <c r="L60" s="223">
        <f t="shared" si="31"/>
        <v>10460000</v>
      </c>
      <c r="M60" s="244"/>
      <c r="O60" s="326"/>
      <c r="P60" s="326"/>
      <c r="Q60" s="326"/>
      <c r="R60" s="326"/>
      <c r="S60" s="326"/>
      <c r="T60" s="334"/>
      <c r="U60" s="334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34"/>
    </row>
    <row r="61" spans="1:34" s="263" customFormat="1" ht="15" customHeight="1" x14ac:dyDescent="0.35">
      <c r="A61" s="241"/>
      <c r="B61" s="262"/>
      <c r="C61" s="236"/>
      <c r="D61" s="217"/>
      <c r="E61" s="217"/>
      <c r="F61" s="218"/>
      <c r="G61" s="220"/>
      <c r="H61" s="219"/>
      <c r="I61" s="220"/>
      <c r="J61" s="221"/>
      <c r="K61" s="222"/>
      <c r="L61" s="223"/>
      <c r="M61" s="244"/>
      <c r="O61" s="326"/>
      <c r="P61" s="326"/>
      <c r="Q61" s="326"/>
      <c r="R61" s="326"/>
      <c r="S61" s="326"/>
      <c r="T61" s="334"/>
      <c r="U61" s="334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34"/>
    </row>
    <row r="62" spans="1:34" s="263" customFormat="1" ht="35.15" customHeight="1" x14ac:dyDescent="0.35">
      <c r="A62" s="255" t="s">
        <v>271</v>
      </c>
      <c r="B62" s="256"/>
      <c r="C62" s="234" t="s">
        <v>272</v>
      </c>
      <c r="D62" s="225">
        <f>SUM(D63:D63)</f>
        <v>203796400</v>
      </c>
      <c r="E62" s="225">
        <f>SUM(E63:E63)</f>
        <v>0</v>
      </c>
      <c r="F62" s="225">
        <f>F63</f>
        <v>203796400</v>
      </c>
      <c r="G62" s="226"/>
      <c r="H62" s="227">
        <f>H63</f>
        <v>160302785</v>
      </c>
      <c r="I62" s="228"/>
      <c r="J62" s="227"/>
      <c r="K62" s="227"/>
      <c r="L62" s="226">
        <f>F62-H62</f>
        <v>43493615</v>
      </c>
      <c r="M62" s="257"/>
      <c r="O62" s="326"/>
      <c r="P62" s="326"/>
      <c r="Q62" s="326"/>
      <c r="R62" s="326"/>
      <c r="S62" s="326"/>
      <c r="T62" s="334"/>
      <c r="U62" s="334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34"/>
    </row>
    <row r="63" spans="1:34" s="263" customFormat="1" ht="50.15" customHeight="1" x14ac:dyDescent="0.35">
      <c r="A63" s="258" t="s">
        <v>223</v>
      </c>
      <c r="B63" s="259"/>
      <c r="C63" s="235" t="s">
        <v>219</v>
      </c>
      <c r="D63" s="229">
        <f>SUM(D64:D68)</f>
        <v>203796400</v>
      </c>
      <c r="E63" s="229">
        <f>SUM(E64:E68)</f>
        <v>0</v>
      </c>
      <c r="F63" s="229">
        <f>SUM(F64:F68)</f>
        <v>203796400</v>
      </c>
      <c r="G63" s="230"/>
      <c r="H63" s="231">
        <f>SUM(H64:H68)</f>
        <v>160302785</v>
      </c>
      <c r="I63" s="232"/>
      <c r="J63" s="231"/>
      <c r="K63" s="231"/>
      <c r="L63" s="230">
        <f>F63-H63</f>
        <v>43493615</v>
      </c>
      <c r="M63" s="260"/>
      <c r="O63" s="326"/>
      <c r="P63" s="326"/>
      <c r="Q63" s="326"/>
      <c r="R63" s="326"/>
      <c r="S63" s="326"/>
      <c r="T63" s="334"/>
      <c r="U63" s="334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34"/>
    </row>
    <row r="64" spans="1:34" s="263" customFormat="1" ht="35.15" customHeight="1" x14ac:dyDescent="0.35">
      <c r="A64" s="241" t="s">
        <v>224</v>
      </c>
      <c r="B64" s="262"/>
      <c r="C64" s="236" t="s">
        <v>312</v>
      </c>
      <c r="D64" s="217">
        <v>6866400</v>
      </c>
      <c r="E64" s="217">
        <v>0</v>
      </c>
      <c r="F64" s="217">
        <f>D64+E64</f>
        <v>6866400</v>
      </c>
      <c r="G64" s="220">
        <f>F64/$F$69*100</f>
        <v>0.10078246900400226</v>
      </c>
      <c r="H64" s="219">
        <v>5908800</v>
      </c>
      <c r="I64" s="220">
        <f t="shared" ref="I64:I68" si="34">H64/F64*100</f>
        <v>86.053827333100315</v>
      </c>
      <c r="J64" s="221">
        <f t="shared" ref="J64:J68" si="35">I64</f>
        <v>86.053827333100315</v>
      </c>
      <c r="K64" s="222">
        <f>J64*G64/100</f>
        <v>8.6727171858739446E-2</v>
      </c>
      <c r="L64" s="223">
        <f t="shared" ref="L64:L67" si="36">F64-H64</f>
        <v>957600</v>
      </c>
      <c r="M64" s="244"/>
      <c r="O64" s="326"/>
      <c r="P64" s="326"/>
      <c r="Q64" s="326"/>
      <c r="R64" s="326"/>
      <c r="S64" s="326"/>
      <c r="T64" s="334"/>
      <c r="U64" s="334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34"/>
    </row>
    <row r="65" spans="1:35" s="263" customFormat="1" ht="16" customHeight="1" x14ac:dyDescent="0.35">
      <c r="A65" s="241" t="s">
        <v>225</v>
      </c>
      <c r="B65" s="262"/>
      <c r="C65" s="236" t="s">
        <v>220</v>
      </c>
      <c r="D65" s="217">
        <v>17650000</v>
      </c>
      <c r="E65" s="217">
        <v>0</v>
      </c>
      <c r="F65" s="217">
        <f>D65+E65</f>
        <v>17650000</v>
      </c>
      <c r="G65" s="220">
        <f t="shared" ref="G65:G68" si="37">F65/$F$69*100</f>
        <v>0.25906014475134564</v>
      </c>
      <c r="H65" s="219">
        <v>17650000</v>
      </c>
      <c r="I65" s="220">
        <f t="shared" si="34"/>
        <v>100</v>
      </c>
      <c r="J65" s="221">
        <f t="shared" si="35"/>
        <v>100</v>
      </c>
      <c r="K65" s="222">
        <f>J65*G65/100</f>
        <v>0.25906014475134564</v>
      </c>
      <c r="L65" s="223">
        <f t="shared" si="36"/>
        <v>0</v>
      </c>
      <c r="M65" s="244"/>
      <c r="O65" s="326"/>
      <c r="P65" s="326"/>
      <c r="Q65" s="326"/>
      <c r="R65" s="326"/>
      <c r="S65" s="326"/>
      <c r="T65" s="334"/>
      <c r="U65" s="334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34"/>
    </row>
    <row r="66" spans="1:35" s="263" customFormat="1" ht="35.15" customHeight="1" x14ac:dyDescent="0.35">
      <c r="A66" s="241" t="s">
        <v>226</v>
      </c>
      <c r="B66" s="262"/>
      <c r="C66" s="236" t="s">
        <v>221</v>
      </c>
      <c r="D66" s="217">
        <v>157520000</v>
      </c>
      <c r="E66" s="217">
        <v>0</v>
      </c>
      <c r="F66" s="217">
        <f t="shared" ref="F66:F68" si="38">D66+E66</f>
        <v>157520000</v>
      </c>
      <c r="G66" s="220">
        <f t="shared" si="37"/>
        <v>2.3120200567270239</v>
      </c>
      <c r="H66" s="219">
        <v>115050000</v>
      </c>
      <c r="I66" s="220">
        <f t="shared" si="34"/>
        <v>73.038344337227016</v>
      </c>
      <c r="J66" s="221">
        <f>I66</f>
        <v>73.038344337227016</v>
      </c>
      <c r="K66" s="222">
        <f>J66*G66/100</f>
        <v>1.688661170178035</v>
      </c>
      <c r="L66" s="223">
        <f t="shared" si="36"/>
        <v>42470000</v>
      </c>
      <c r="M66" s="244"/>
      <c r="O66" s="326"/>
      <c r="P66" s="326"/>
      <c r="Q66" s="326"/>
      <c r="R66" s="326"/>
      <c r="S66" s="326"/>
      <c r="T66" s="334"/>
      <c r="U66" s="334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34"/>
    </row>
    <row r="67" spans="1:35" s="263" customFormat="1" ht="35.15" customHeight="1" x14ac:dyDescent="0.35">
      <c r="A67" s="241" t="s">
        <v>314</v>
      </c>
      <c r="B67" s="262"/>
      <c r="C67" s="236" t="s">
        <v>313</v>
      </c>
      <c r="D67" s="217">
        <v>0</v>
      </c>
      <c r="E67" s="217">
        <v>0</v>
      </c>
      <c r="F67" s="217">
        <f t="shared" si="38"/>
        <v>0</v>
      </c>
      <c r="G67" s="220">
        <f t="shared" si="37"/>
        <v>0</v>
      </c>
      <c r="H67" s="219">
        <v>0</v>
      </c>
      <c r="I67" s="220">
        <v>0</v>
      </c>
      <c r="J67" s="221"/>
      <c r="K67" s="222"/>
      <c r="L67" s="223">
        <f t="shared" si="36"/>
        <v>0</v>
      </c>
      <c r="M67" s="244"/>
      <c r="O67" s="326"/>
      <c r="P67" s="326"/>
      <c r="Q67" s="326"/>
      <c r="R67" s="326"/>
      <c r="S67" s="326"/>
      <c r="T67" s="334"/>
      <c r="U67" s="334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34"/>
    </row>
    <row r="68" spans="1:35" s="263" customFormat="1" ht="35.15" customHeight="1" x14ac:dyDescent="0.35">
      <c r="A68" s="241" t="s">
        <v>227</v>
      </c>
      <c r="B68" s="262"/>
      <c r="C68" s="236" t="s">
        <v>222</v>
      </c>
      <c r="D68" s="217">
        <v>21760000</v>
      </c>
      <c r="E68" s="217">
        <v>0</v>
      </c>
      <c r="F68" s="217">
        <f t="shared" si="38"/>
        <v>21760000</v>
      </c>
      <c r="G68" s="220">
        <f t="shared" si="37"/>
        <v>0.31938519828834455</v>
      </c>
      <c r="H68" s="219">
        <v>21693985</v>
      </c>
      <c r="I68" s="220">
        <f t="shared" si="34"/>
        <v>99.696622242647067</v>
      </c>
      <c r="J68" s="221">
        <f t="shared" si="35"/>
        <v>99.696622242647067</v>
      </c>
      <c r="K68" s="222">
        <f>J68*G68/100</f>
        <v>0.31841625463646017</v>
      </c>
      <c r="L68" s="223">
        <f>F68-H68</f>
        <v>66015</v>
      </c>
      <c r="M68" s="244"/>
      <c r="O68" s="326"/>
      <c r="P68" s="326"/>
      <c r="Q68" s="326"/>
      <c r="R68" s="326"/>
      <c r="S68" s="326"/>
      <c r="T68" s="334"/>
      <c r="U68" s="334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34"/>
    </row>
    <row r="69" spans="1:35" s="263" customFormat="1" ht="20.149999999999999" customHeight="1" x14ac:dyDescent="0.35">
      <c r="A69" s="448" t="s">
        <v>145</v>
      </c>
      <c r="B69" s="449"/>
      <c r="C69" s="449"/>
      <c r="D69" s="237">
        <f>D10+D36+D43+D48+D56+D62</f>
        <v>6813089685</v>
      </c>
      <c r="E69" s="237">
        <f>E10+E36+E43+E48+E56+E62</f>
        <v>0</v>
      </c>
      <c r="F69" s="237">
        <f>F10+F36+F43+F48+F56+F62</f>
        <v>6813089685</v>
      </c>
      <c r="G69" s="238">
        <f>SUM(G12:G68)</f>
        <v>100</v>
      </c>
      <c r="H69" s="237">
        <f>H10+H36+H43+H48+H56+H62</f>
        <v>4950552807</v>
      </c>
      <c r="I69" s="269">
        <f>H69/F69*100</f>
        <v>72.662375454991533</v>
      </c>
      <c r="J69" s="238">
        <f>I69</f>
        <v>72.662375454991533</v>
      </c>
      <c r="K69" s="238">
        <f>J69*G69/100</f>
        <v>72.662375454991533</v>
      </c>
      <c r="L69" s="237">
        <f>L10+L36+L43+L48+L56+L62</f>
        <v>1862536878</v>
      </c>
      <c r="M69" s="270"/>
      <c r="O69" s="326"/>
      <c r="P69" s="326"/>
      <c r="Q69" s="326"/>
      <c r="R69" s="326"/>
      <c r="S69" s="326"/>
      <c r="T69" s="334"/>
      <c r="U69" s="334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34"/>
    </row>
    <row r="70" spans="1:35" s="263" customFormat="1" ht="15.5" x14ac:dyDescent="0.35">
      <c r="A70" s="271"/>
      <c r="B70" s="272"/>
      <c r="C70" s="272"/>
      <c r="D70" s="273"/>
      <c r="E70" s="274"/>
      <c r="F70" s="274"/>
      <c r="G70" s="275"/>
      <c r="H70" s="274"/>
      <c r="I70" s="276"/>
      <c r="J70" s="276"/>
      <c r="K70" s="276"/>
      <c r="L70" s="310"/>
      <c r="M70" s="277"/>
      <c r="O70" s="326"/>
      <c r="P70" s="326"/>
      <c r="Q70" s="326"/>
      <c r="R70" s="326"/>
      <c r="S70" s="330"/>
      <c r="T70" s="334"/>
      <c r="U70" s="337"/>
      <c r="V70" s="330"/>
      <c r="W70" s="330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34"/>
    </row>
    <row r="71" spans="1:35" s="263" customFormat="1" ht="15.5" x14ac:dyDescent="0.35">
      <c r="A71" s="271"/>
      <c r="B71" s="272"/>
      <c r="C71" s="272"/>
      <c r="D71" s="274"/>
      <c r="E71" s="274"/>
      <c r="F71" s="278"/>
      <c r="G71" s="275"/>
      <c r="H71" s="278"/>
      <c r="I71" s="450" t="s">
        <v>343</v>
      </c>
      <c r="J71" s="450"/>
      <c r="K71" s="450"/>
      <c r="L71" s="276"/>
      <c r="M71" s="277"/>
      <c r="O71" s="326"/>
      <c r="P71" s="326"/>
      <c r="Q71" s="326"/>
      <c r="R71" s="326"/>
      <c r="S71" s="330"/>
      <c r="T71" s="334"/>
      <c r="U71" s="337"/>
      <c r="V71" s="330"/>
      <c r="W71" s="330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34"/>
    </row>
    <row r="72" spans="1:35" s="263" customFormat="1" ht="15.5" x14ac:dyDescent="0.35">
      <c r="A72" s="271"/>
      <c r="B72" s="272"/>
      <c r="C72" s="272"/>
      <c r="D72" s="279"/>
      <c r="E72" s="274"/>
      <c r="F72" s="279"/>
      <c r="G72" s="280"/>
      <c r="H72" s="278"/>
      <c r="I72" s="450" t="s">
        <v>177</v>
      </c>
      <c r="J72" s="450"/>
      <c r="K72" s="450"/>
      <c r="L72" s="276"/>
      <c r="M72" s="277"/>
      <c r="O72" s="326"/>
      <c r="P72" s="326"/>
      <c r="Q72" s="326"/>
      <c r="R72" s="326"/>
      <c r="S72" s="330"/>
      <c r="T72" s="334"/>
      <c r="U72" s="337"/>
      <c r="V72" s="330"/>
      <c r="W72" s="330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34"/>
    </row>
    <row r="73" spans="1:35" s="263" customFormat="1" ht="15.5" x14ac:dyDescent="0.35">
      <c r="A73" s="271"/>
      <c r="B73" s="272"/>
      <c r="C73" s="272"/>
      <c r="D73" s="274"/>
      <c r="E73" s="274"/>
      <c r="F73" s="279"/>
      <c r="G73" s="280"/>
      <c r="H73" s="289"/>
      <c r="I73" s="450"/>
      <c r="J73" s="450"/>
      <c r="K73" s="450"/>
      <c r="L73" s="276"/>
      <c r="M73" s="277"/>
      <c r="O73" s="326"/>
      <c r="P73" s="326"/>
      <c r="Q73" s="326"/>
      <c r="R73" s="326"/>
      <c r="S73" s="326"/>
      <c r="T73" s="334"/>
      <c r="U73" s="334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34"/>
    </row>
    <row r="74" spans="1:35" s="263" customFormat="1" ht="15.5" x14ac:dyDescent="0.35">
      <c r="A74" s="271"/>
      <c r="B74" s="272"/>
      <c r="C74" s="272"/>
      <c r="D74" s="274"/>
      <c r="E74" s="274"/>
      <c r="F74" s="279"/>
      <c r="G74" s="280"/>
      <c r="H74" s="289"/>
      <c r="I74" s="281"/>
      <c r="J74" s="281"/>
      <c r="K74" s="281"/>
      <c r="L74" s="276"/>
      <c r="M74" s="277"/>
      <c r="O74" s="326"/>
      <c r="P74" s="326"/>
      <c r="Q74" s="326"/>
      <c r="R74" s="326"/>
      <c r="S74" s="326"/>
      <c r="T74" s="334"/>
      <c r="U74" s="334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34"/>
      <c r="AI74" s="274"/>
    </row>
    <row r="75" spans="1:35" s="263" customFormat="1" ht="15.5" x14ac:dyDescent="0.35">
      <c r="A75" s="271"/>
      <c r="B75" s="272"/>
      <c r="C75" s="272"/>
      <c r="D75" s="274"/>
      <c r="E75" s="274"/>
      <c r="F75" s="274"/>
      <c r="G75" s="280"/>
      <c r="H75" s="289"/>
      <c r="I75" s="282"/>
      <c r="J75" s="281"/>
      <c r="K75" s="282"/>
      <c r="L75" s="276"/>
      <c r="M75" s="277"/>
      <c r="O75" s="326"/>
      <c r="P75" s="326"/>
      <c r="Q75" s="326"/>
      <c r="R75" s="326"/>
      <c r="S75" s="326"/>
      <c r="T75" s="334"/>
      <c r="U75" s="334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34"/>
    </row>
    <row r="76" spans="1:35" s="263" customFormat="1" ht="18.5" x14ac:dyDescent="0.35">
      <c r="A76" s="271"/>
      <c r="B76" s="272"/>
      <c r="C76" s="278"/>
      <c r="D76" s="274"/>
      <c r="E76" s="274"/>
      <c r="F76" s="274"/>
      <c r="G76" s="280"/>
      <c r="H76" s="278"/>
      <c r="I76" s="451" t="s">
        <v>329</v>
      </c>
      <c r="J76" s="451"/>
      <c r="K76" s="451"/>
      <c r="L76" s="276"/>
      <c r="M76" s="277"/>
      <c r="O76" s="326"/>
      <c r="P76" s="326"/>
      <c r="Q76" s="326"/>
      <c r="R76" s="326"/>
      <c r="S76" s="326"/>
      <c r="T76" s="334"/>
      <c r="U76" s="334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34"/>
    </row>
    <row r="77" spans="1:35" s="263" customFormat="1" ht="15.5" x14ac:dyDescent="0.35">
      <c r="A77" s="283"/>
      <c r="B77" s="284"/>
      <c r="C77" s="284"/>
      <c r="D77" s="285"/>
      <c r="E77" s="285"/>
      <c r="F77" s="285"/>
      <c r="G77" s="286"/>
      <c r="H77" s="287"/>
      <c r="I77" s="444" t="s">
        <v>330</v>
      </c>
      <c r="J77" s="444"/>
      <c r="K77" s="444"/>
      <c r="L77" s="311"/>
      <c r="M77" s="288"/>
      <c r="O77" s="326"/>
      <c r="P77" s="326"/>
      <c r="Q77" s="326"/>
      <c r="R77" s="326"/>
      <c r="S77" s="326"/>
      <c r="T77" s="334"/>
      <c r="U77" s="334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34"/>
    </row>
    <row r="78" spans="1:35" ht="15.5" x14ac:dyDescent="0.35">
      <c r="A78" s="164"/>
      <c r="B78" s="164"/>
      <c r="C78" s="164"/>
      <c r="D78" s="165"/>
      <c r="E78" s="165"/>
      <c r="F78" s="165"/>
      <c r="G78" s="176"/>
      <c r="H78" s="165"/>
      <c r="I78" s="165"/>
      <c r="J78" s="165"/>
      <c r="K78" s="165"/>
      <c r="L78" s="165"/>
      <c r="M78" s="165"/>
    </row>
  </sheetData>
  <protectedRanges>
    <protectedRange sqref="H10:H15 H18:H20 H22:H29 H49:H68 H32:H47" name="Range1"/>
    <protectedRange sqref="H21" name="Range1_2"/>
    <protectedRange sqref="H16" name="Range1_3_1"/>
  </protectedRanges>
  <mergeCells count="28"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M6:M9"/>
    <mergeCell ref="H7:I8"/>
    <mergeCell ref="J7:K8"/>
    <mergeCell ref="A69:C69"/>
    <mergeCell ref="I71:K71"/>
    <mergeCell ref="I72:K72"/>
    <mergeCell ref="I73:K73"/>
    <mergeCell ref="I76:K76"/>
    <mergeCell ref="AD8:AE8"/>
    <mergeCell ref="P8:Q8"/>
    <mergeCell ref="I77:K77"/>
    <mergeCell ref="L6:L8"/>
    <mergeCell ref="V8:W8"/>
    <mergeCell ref="T8:U8"/>
    <mergeCell ref="R8:S8"/>
    <mergeCell ref="AB8:AC8"/>
    <mergeCell ref="Z8:AA8"/>
    <mergeCell ref="X8:Y8"/>
  </mergeCells>
  <pageMargins left="0.38" right="0.55118110236220474" top="0.70866141732283472" bottom="0.31496062992125984" header="0.31496062992125984" footer="0.23622047244094491"/>
  <pageSetup paperSize="5" scale="75" orientation="landscape" horizontalDpi="4294967293" r:id="rId1"/>
  <rowBreaks count="2" manualBreakCount="2">
    <brk id="35" max="28" man="1"/>
    <brk id="57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4"/>
  <sheetViews>
    <sheetView tabSelected="1" view="pageBreakPreview" topLeftCell="B32" zoomScale="80" zoomScaleNormal="80" zoomScaleSheetLayoutView="80" workbookViewId="0">
      <selection activeCell="H40" sqref="H40"/>
    </sheetView>
  </sheetViews>
  <sheetFormatPr defaultColWidth="9.1796875" defaultRowHeight="14.5" x14ac:dyDescent="0.35"/>
  <cols>
    <col min="1" max="1" width="18.7265625" style="88" customWidth="1"/>
    <col min="2" max="2" width="1.26953125" style="88" customWidth="1"/>
    <col min="3" max="3" width="50.26953125" style="88" customWidth="1"/>
    <col min="4" max="6" width="15.7265625" style="88" hidden="1" customWidth="1"/>
    <col min="7" max="7" width="9.26953125" style="88" hidden="1" customWidth="1"/>
    <col min="8" max="8" width="18.453125" style="88" customWidth="1"/>
    <col min="9" max="10" width="8.7265625" style="88" customWidth="1"/>
    <col min="11" max="11" width="15.7265625" style="88" customWidth="1"/>
    <col min="12" max="12" width="17.7265625" style="88" customWidth="1"/>
    <col min="13" max="13" width="9.54296875" style="88" customWidth="1"/>
    <col min="14" max="14" width="2.54296875" style="88" customWidth="1"/>
    <col min="15" max="15" width="17.54296875" style="88" customWidth="1"/>
    <col min="16" max="16" width="9.1796875" style="88"/>
    <col min="17" max="17" width="18.81640625" style="88" customWidth="1"/>
    <col min="18" max="18" width="16.26953125" style="88" customWidth="1"/>
    <col min="19" max="16384" width="9.1796875" style="88"/>
  </cols>
  <sheetData>
    <row r="1" spans="1:18" s="245" customFormat="1" ht="27" customHeight="1" x14ac:dyDescent="0.35">
      <c r="A1" s="452" t="s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</row>
    <row r="2" spans="1:18" s="263" customFormat="1" ht="28.5" customHeight="1" x14ac:dyDescent="0.35">
      <c r="A2" s="455" t="s">
        <v>319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</row>
    <row r="3" spans="1:18" s="263" customFormat="1" ht="15" customHeight="1" x14ac:dyDescent="0.35">
      <c r="A3" s="246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1:18" s="263" customFormat="1" ht="15" customHeight="1" x14ac:dyDescent="0.35">
      <c r="A4" s="250" t="s">
        <v>273</v>
      </c>
      <c r="B4" s="251" t="s">
        <v>1</v>
      </c>
      <c r="C4" s="252" t="s">
        <v>309</v>
      </c>
      <c r="D4" s="251"/>
      <c r="E4" s="251"/>
      <c r="F4" s="253" t="s">
        <v>335</v>
      </c>
      <c r="G4" s="253"/>
      <c r="H4" s="253"/>
      <c r="I4" s="251"/>
      <c r="J4" s="251"/>
      <c r="K4" s="251"/>
      <c r="L4" s="251"/>
      <c r="M4" s="254"/>
    </row>
    <row r="5" spans="1:18" s="263" customFormat="1" ht="15" customHeight="1" x14ac:dyDescent="0.35">
      <c r="A5" s="250" t="s">
        <v>3</v>
      </c>
      <c r="B5" s="251" t="s">
        <v>1</v>
      </c>
      <c r="C5" s="252" t="s">
        <v>340</v>
      </c>
      <c r="D5" s="458"/>
      <c r="E5" s="458"/>
      <c r="F5" s="253"/>
      <c r="G5" s="253"/>
      <c r="H5" s="253"/>
      <c r="I5" s="251"/>
      <c r="J5" s="251"/>
      <c r="K5" s="251"/>
      <c r="L5" s="251"/>
      <c r="M5" s="254"/>
    </row>
    <row r="6" spans="1:18" s="263" customFormat="1" ht="16" customHeight="1" x14ac:dyDescent="0.35">
      <c r="A6" s="459" t="s">
        <v>4</v>
      </c>
      <c r="B6" s="462" t="s">
        <v>5</v>
      </c>
      <c r="C6" s="463"/>
      <c r="D6" s="468" t="s">
        <v>189</v>
      </c>
      <c r="E6" s="445" t="s">
        <v>190</v>
      </c>
      <c r="F6" s="445" t="s">
        <v>191</v>
      </c>
      <c r="G6" s="445" t="s">
        <v>9</v>
      </c>
      <c r="H6" s="471" t="s">
        <v>204</v>
      </c>
      <c r="I6" s="471"/>
      <c r="J6" s="471"/>
      <c r="K6" s="471"/>
      <c r="L6" s="445" t="s">
        <v>192</v>
      </c>
      <c r="M6" s="459" t="s">
        <v>12</v>
      </c>
    </row>
    <row r="7" spans="1:18" s="263" customFormat="1" ht="16" customHeight="1" x14ac:dyDescent="0.35">
      <c r="A7" s="460"/>
      <c r="B7" s="464"/>
      <c r="C7" s="465"/>
      <c r="D7" s="469"/>
      <c r="E7" s="446"/>
      <c r="F7" s="446"/>
      <c r="G7" s="446"/>
      <c r="H7" s="472" t="s">
        <v>13</v>
      </c>
      <c r="I7" s="473"/>
      <c r="J7" s="476" t="s">
        <v>14</v>
      </c>
      <c r="K7" s="463"/>
      <c r="L7" s="446"/>
      <c r="M7" s="460"/>
    </row>
    <row r="8" spans="1:18" s="263" customFormat="1" ht="16" customHeight="1" x14ac:dyDescent="0.35">
      <c r="A8" s="460"/>
      <c r="B8" s="464"/>
      <c r="C8" s="465"/>
      <c r="D8" s="469"/>
      <c r="E8" s="446"/>
      <c r="F8" s="446"/>
      <c r="G8" s="446"/>
      <c r="H8" s="474"/>
      <c r="I8" s="475"/>
      <c r="J8" s="477"/>
      <c r="K8" s="467"/>
      <c r="L8" s="446"/>
      <c r="M8" s="460"/>
    </row>
    <row r="9" spans="1:18" s="263" customFormat="1" ht="16" customHeight="1" x14ac:dyDescent="0.35">
      <c r="A9" s="461"/>
      <c r="B9" s="466"/>
      <c r="C9" s="467"/>
      <c r="D9" s="233" t="s">
        <v>15</v>
      </c>
      <c r="E9" s="240" t="s">
        <v>15</v>
      </c>
      <c r="F9" s="240" t="s">
        <v>15</v>
      </c>
      <c r="G9" s="470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61"/>
    </row>
    <row r="10" spans="1:18" s="263" customFormat="1" ht="35.15" customHeight="1" x14ac:dyDescent="0.35">
      <c r="A10" s="255" t="s">
        <v>261</v>
      </c>
      <c r="B10" s="256"/>
      <c r="C10" s="234" t="s">
        <v>262</v>
      </c>
      <c r="D10" s="225">
        <f>SUM(D11,D14,D23,D26,D20)</f>
        <v>262825925</v>
      </c>
      <c r="E10" s="225">
        <f>SUM(E11,E14,E23,E26,E20)</f>
        <v>0</v>
      </c>
      <c r="F10" s="225">
        <f>F11+F14+F20+F23+F26</f>
        <v>262825925</v>
      </c>
      <c r="G10" s="226"/>
      <c r="H10" s="227">
        <f>H11+H14+H20+H23+H26</f>
        <v>212925149</v>
      </c>
      <c r="I10" s="228"/>
      <c r="J10" s="227"/>
      <c r="K10" s="227"/>
      <c r="L10" s="226">
        <f>F10-H10</f>
        <v>49900776</v>
      </c>
      <c r="M10" s="257"/>
    </row>
    <row r="11" spans="1:18" s="263" customFormat="1" ht="16" customHeight="1" x14ac:dyDescent="0.35">
      <c r="A11" s="258" t="s">
        <v>236</v>
      </c>
      <c r="B11" s="259"/>
      <c r="C11" s="235" t="s">
        <v>199</v>
      </c>
      <c r="D11" s="229">
        <f>SUM(D12:D12)</f>
        <v>92020000</v>
      </c>
      <c r="E11" s="229">
        <f>SUM(E12:E12)</f>
        <v>0</v>
      </c>
      <c r="F11" s="229">
        <f>F12</f>
        <v>92020000</v>
      </c>
      <c r="G11" s="230"/>
      <c r="H11" s="231">
        <f>SUM(H12:H12)</f>
        <v>67376376</v>
      </c>
      <c r="I11" s="232"/>
      <c r="J11" s="231"/>
      <c r="K11" s="231"/>
      <c r="L11" s="230">
        <f>F11-H11</f>
        <v>24643624</v>
      </c>
      <c r="M11" s="261"/>
    </row>
    <row r="12" spans="1:18" s="263" customFormat="1" ht="16" customHeight="1" x14ac:dyDescent="0.35">
      <c r="A12" s="241" t="s">
        <v>240</v>
      </c>
      <c r="B12" s="242"/>
      <c r="C12" s="243" t="s">
        <v>200</v>
      </c>
      <c r="D12" s="217">
        <v>92020000</v>
      </c>
      <c r="E12" s="217">
        <v>0</v>
      </c>
      <c r="F12" s="217">
        <f>D12+E12</f>
        <v>92020000</v>
      </c>
      <c r="G12" s="220">
        <f>F12/$F$46*100</f>
        <v>2.1017634969959111</v>
      </c>
      <c r="H12" s="315">
        <v>67376376</v>
      </c>
      <c r="I12" s="220">
        <f>H12/F12*100</f>
        <v>73.219274070854155</v>
      </c>
      <c r="J12" s="221">
        <f t="shared" ref="J12" si="0">I12</f>
        <v>73.219274070854155</v>
      </c>
      <c r="K12" s="222">
        <f>J12*G12/100</f>
        <v>1.5388959751866047</v>
      </c>
      <c r="L12" s="223">
        <f>F12-H12</f>
        <v>24643624</v>
      </c>
      <c r="M12" s="244"/>
      <c r="R12" s="263">
        <v>67376376</v>
      </c>
    </row>
    <row r="13" spans="1:18" s="263" customFormat="1" ht="15" customHeight="1" x14ac:dyDescent="0.35">
      <c r="A13" s="241"/>
      <c r="B13" s="262"/>
      <c r="C13" s="243"/>
      <c r="D13" s="217"/>
      <c r="E13" s="217"/>
      <c r="F13" s="218"/>
      <c r="G13" s="220"/>
      <c r="H13" s="219"/>
      <c r="I13" s="220"/>
      <c r="J13" s="221"/>
      <c r="K13" s="222"/>
      <c r="L13" s="223"/>
      <c r="M13" s="244"/>
    </row>
    <row r="14" spans="1:18" s="263" customFormat="1" ht="16" customHeight="1" x14ac:dyDescent="0.35">
      <c r="A14" s="264" t="s">
        <v>231</v>
      </c>
      <c r="B14" s="259"/>
      <c r="C14" s="265" t="s">
        <v>193</v>
      </c>
      <c r="D14" s="229">
        <f>SUM(D15:D18)</f>
        <v>71927201</v>
      </c>
      <c r="E14" s="229">
        <f>SUM(E15:E18)</f>
        <v>0</v>
      </c>
      <c r="F14" s="229">
        <f>SUM(F15:F18)</f>
        <v>71927201</v>
      </c>
      <c r="G14" s="230"/>
      <c r="H14" s="231">
        <f>SUM(H15:H18)</f>
        <v>64856348</v>
      </c>
      <c r="I14" s="232"/>
      <c r="J14" s="231"/>
      <c r="K14" s="231"/>
      <c r="L14" s="230">
        <f>F14-H14</f>
        <v>7070853</v>
      </c>
      <c r="M14" s="266"/>
    </row>
    <row r="15" spans="1:18" s="263" customFormat="1" ht="35.15" customHeight="1" x14ac:dyDescent="0.35">
      <c r="A15" s="241" t="s">
        <v>232</v>
      </c>
      <c r="B15" s="242"/>
      <c r="C15" s="243" t="s">
        <v>42</v>
      </c>
      <c r="D15" s="219">
        <v>3403260</v>
      </c>
      <c r="E15" s="217">
        <v>0</v>
      </c>
      <c r="F15" s="217">
        <f t="shared" ref="F15:F18" si="1">D15+E15</f>
        <v>3403260</v>
      </c>
      <c r="G15" s="220">
        <f t="shared" ref="G15:G18" si="2">F15/$F$46*100</f>
        <v>7.7731445759468637E-2</v>
      </c>
      <c r="H15" s="219">
        <v>3402705</v>
      </c>
      <c r="I15" s="220">
        <f t="shared" ref="I15:I18" si="3">H15/F15*100</f>
        <v>99.983692106979788</v>
      </c>
      <c r="J15" s="221">
        <f>I15</f>
        <v>99.983692106979788</v>
      </c>
      <c r="K15" s="222">
        <f>J15*G15/100</f>
        <v>7.7718769398451112E-2</v>
      </c>
      <c r="L15" s="223">
        <f t="shared" ref="L15:L18" si="4">F15-H15</f>
        <v>555</v>
      </c>
      <c r="M15" s="267"/>
    </row>
    <row r="16" spans="1:18" s="263" customFormat="1" ht="16" customHeight="1" x14ac:dyDescent="0.35">
      <c r="A16" s="241" t="s">
        <v>241</v>
      </c>
      <c r="B16" s="242"/>
      <c r="C16" s="236" t="s">
        <v>194</v>
      </c>
      <c r="D16" s="219">
        <v>36988641</v>
      </c>
      <c r="E16" s="217">
        <v>0</v>
      </c>
      <c r="F16" s="217">
        <f t="shared" si="1"/>
        <v>36988641</v>
      </c>
      <c r="G16" s="220">
        <f t="shared" si="2"/>
        <v>0.84483129164623272</v>
      </c>
      <c r="H16" s="219">
        <v>36986643</v>
      </c>
      <c r="I16" s="220">
        <f t="shared" si="3"/>
        <v>99.994598341690903</v>
      </c>
      <c r="J16" s="221">
        <f t="shared" ref="J16:J18" si="5">I16</f>
        <v>99.994598341690903</v>
      </c>
      <c r="K16" s="222">
        <f>J16*G16/100</f>
        <v>0.84478565674656958</v>
      </c>
      <c r="L16" s="223">
        <f t="shared" si="4"/>
        <v>1998</v>
      </c>
      <c r="M16" s="244"/>
      <c r="R16" s="263">
        <v>36986643</v>
      </c>
    </row>
    <row r="17" spans="1:18" s="263" customFormat="1" ht="16" customHeight="1" x14ac:dyDescent="0.35">
      <c r="A17" s="241" t="s">
        <v>242</v>
      </c>
      <c r="B17" s="242"/>
      <c r="C17" s="243" t="s">
        <v>40</v>
      </c>
      <c r="D17" s="219">
        <v>8710300</v>
      </c>
      <c r="E17" s="217">
        <v>0</v>
      </c>
      <c r="F17" s="217">
        <f t="shared" si="1"/>
        <v>8710300</v>
      </c>
      <c r="G17" s="220">
        <f t="shared" si="2"/>
        <v>0.19894577904676683</v>
      </c>
      <c r="H17" s="219">
        <v>8432000</v>
      </c>
      <c r="I17" s="220">
        <f t="shared" si="3"/>
        <v>96.804932091891203</v>
      </c>
      <c r="J17" s="221">
        <f t="shared" si="5"/>
        <v>96.804932091891203</v>
      </c>
      <c r="K17" s="222">
        <f>J17*G17/100</f>
        <v>0.19258932630590653</v>
      </c>
      <c r="L17" s="223">
        <f t="shared" si="4"/>
        <v>278300</v>
      </c>
      <c r="M17" s="244"/>
    </row>
    <row r="18" spans="1:18" s="263" customFormat="1" ht="16" customHeight="1" x14ac:dyDescent="0.35">
      <c r="A18" s="241" t="s">
        <v>243</v>
      </c>
      <c r="B18" s="242"/>
      <c r="C18" s="243" t="s">
        <v>195</v>
      </c>
      <c r="D18" s="219">
        <v>22825000</v>
      </c>
      <c r="E18" s="217">
        <v>0</v>
      </c>
      <c r="F18" s="217">
        <f t="shared" si="1"/>
        <v>22825000</v>
      </c>
      <c r="G18" s="220">
        <f t="shared" si="2"/>
        <v>0.52132962202707744</v>
      </c>
      <c r="H18" s="219">
        <v>16035000</v>
      </c>
      <c r="I18" s="220">
        <f t="shared" si="3"/>
        <v>70.251916757940862</v>
      </c>
      <c r="J18" s="221">
        <f t="shared" si="5"/>
        <v>70.251916757940862</v>
      </c>
      <c r="K18" s="222">
        <f>J18*G18/100</f>
        <v>0.36624405210095018</v>
      </c>
      <c r="L18" s="223">
        <f t="shared" si="4"/>
        <v>6790000</v>
      </c>
      <c r="M18" s="244"/>
      <c r="R18" s="263">
        <v>16035000</v>
      </c>
    </row>
    <row r="19" spans="1:18" s="263" customFormat="1" ht="15" customHeight="1" x14ac:dyDescent="0.35">
      <c r="A19" s="268"/>
      <c r="B19" s="242"/>
      <c r="C19" s="236"/>
      <c r="D19" s="217"/>
      <c r="E19" s="217"/>
      <c r="F19" s="218"/>
      <c r="G19" s="220"/>
      <c r="H19" s="219"/>
      <c r="I19" s="220"/>
      <c r="J19" s="221"/>
      <c r="K19" s="222"/>
      <c r="L19" s="223"/>
      <c r="M19" s="244"/>
    </row>
    <row r="20" spans="1:18" s="263" customFormat="1" ht="35.15" customHeight="1" x14ac:dyDescent="0.35">
      <c r="A20" s="258" t="s">
        <v>281</v>
      </c>
      <c r="B20" s="259"/>
      <c r="C20" s="235" t="s">
        <v>282</v>
      </c>
      <c r="D20" s="229">
        <f>SUM(D21:D21)</f>
        <v>7826943</v>
      </c>
      <c r="E20" s="229">
        <f>SUM(E21:E21)</f>
        <v>0</v>
      </c>
      <c r="F20" s="229">
        <f>F21</f>
        <v>7826943</v>
      </c>
      <c r="G20" s="230"/>
      <c r="H20" s="231">
        <f>H21</f>
        <v>7770000</v>
      </c>
      <c r="I20" s="232"/>
      <c r="J20" s="231"/>
      <c r="K20" s="231"/>
      <c r="L20" s="230">
        <f>F20-H20</f>
        <v>56943</v>
      </c>
      <c r="M20" s="261"/>
    </row>
    <row r="21" spans="1:18" s="263" customFormat="1" ht="16" customHeight="1" x14ac:dyDescent="0.35">
      <c r="A21" s="241" t="s">
        <v>283</v>
      </c>
      <c r="B21" s="242"/>
      <c r="C21" s="243" t="s">
        <v>284</v>
      </c>
      <c r="D21" s="217">
        <v>7826943</v>
      </c>
      <c r="E21" s="217">
        <v>0</v>
      </c>
      <c r="F21" s="217">
        <f>D21+E21</f>
        <v>7826943</v>
      </c>
      <c r="G21" s="220">
        <f>F21/$F$46*100</f>
        <v>0.17876964888576036</v>
      </c>
      <c r="H21" s="318">
        <v>7770000</v>
      </c>
      <c r="I21" s="220">
        <f>H21/F21*100</f>
        <v>99.272474579155613</v>
      </c>
      <c r="J21" s="221">
        <f t="shared" ref="J21" si="6">I21</f>
        <v>99.272474579155613</v>
      </c>
      <c r="K21" s="222">
        <f>J21*G21/100</f>
        <v>0.17746905424536219</v>
      </c>
      <c r="L21" s="223">
        <f>F21-H21</f>
        <v>56943</v>
      </c>
      <c r="M21" s="244"/>
    </row>
    <row r="22" spans="1:18" s="263" customFormat="1" ht="15" customHeight="1" x14ac:dyDescent="0.35">
      <c r="A22" s="241"/>
      <c r="B22" s="262"/>
      <c r="C22" s="243"/>
      <c r="D22" s="217"/>
      <c r="E22" s="217"/>
      <c r="F22" s="218"/>
      <c r="G22" s="220"/>
      <c r="H22" s="219"/>
      <c r="I22" s="220"/>
      <c r="J22" s="221"/>
      <c r="K22" s="222"/>
      <c r="L22" s="223"/>
      <c r="M22" s="244"/>
    </row>
    <row r="23" spans="1:18" s="263" customFormat="1" ht="35.15" customHeight="1" x14ac:dyDescent="0.35">
      <c r="A23" s="258" t="s">
        <v>244</v>
      </c>
      <c r="B23" s="259"/>
      <c r="C23" s="235" t="s">
        <v>201</v>
      </c>
      <c r="D23" s="229">
        <f>SUM(D24:D24)</f>
        <v>66167981</v>
      </c>
      <c r="E23" s="229">
        <f>SUM(E24:E24)</f>
        <v>0</v>
      </c>
      <c r="F23" s="229">
        <f>F24</f>
        <v>66167981</v>
      </c>
      <c r="G23" s="230"/>
      <c r="H23" s="231">
        <f>SUM(H24:H24)</f>
        <v>50729005</v>
      </c>
      <c r="I23" s="232"/>
      <c r="J23" s="231"/>
      <c r="K23" s="231"/>
      <c r="L23" s="230">
        <f>F23-H23</f>
        <v>15438976</v>
      </c>
      <c r="M23" s="261"/>
    </row>
    <row r="24" spans="1:18" s="263" customFormat="1" ht="16" customHeight="1" x14ac:dyDescent="0.35">
      <c r="A24" s="241" t="s">
        <v>245</v>
      </c>
      <c r="B24" s="242"/>
      <c r="C24" s="243" t="s">
        <v>202</v>
      </c>
      <c r="D24" s="217">
        <v>66167981</v>
      </c>
      <c r="E24" s="217">
        <v>0</v>
      </c>
      <c r="F24" s="217">
        <f>D24+E24</f>
        <v>66167981</v>
      </c>
      <c r="G24" s="220">
        <f>F24/$F$46*100</f>
        <v>1.5112958828050316</v>
      </c>
      <c r="H24" s="313">
        <v>50729005</v>
      </c>
      <c r="I24" s="220">
        <f>H24/F24*100</f>
        <v>76.666998498866093</v>
      </c>
      <c r="J24" s="221">
        <f t="shared" ref="J24" si="7">I24</f>
        <v>76.666998498866093</v>
      </c>
      <c r="K24" s="222">
        <f>J24*G24/100</f>
        <v>1.1586651917835586</v>
      </c>
      <c r="L24" s="223">
        <f>F24-H24</f>
        <v>15438976</v>
      </c>
      <c r="M24" s="244"/>
      <c r="R24" s="263">
        <v>50729005</v>
      </c>
    </row>
    <row r="25" spans="1:18" s="263" customFormat="1" ht="15" customHeight="1" x14ac:dyDescent="0.35">
      <c r="A25" s="241"/>
      <c r="B25" s="262"/>
      <c r="C25" s="243"/>
      <c r="D25" s="217"/>
      <c r="E25" s="217"/>
      <c r="F25" s="218"/>
      <c r="G25" s="220"/>
      <c r="H25" s="219"/>
      <c r="I25" s="220"/>
      <c r="J25" s="221"/>
      <c r="K25" s="222"/>
      <c r="L25" s="223"/>
      <c r="M25" s="244"/>
    </row>
    <row r="26" spans="1:18" s="263" customFormat="1" ht="35.15" customHeight="1" x14ac:dyDescent="0.35">
      <c r="A26" s="258" t="s">
        <v>246</v>
      </c>
      <c r="B26" s="259"/>
      <c r="C26" s="235" t="s">
        <v>203</v>
      </c>
      <c r="D26" s="229">
        <f>SUM(D27:D28)</f>
        <v>24883800</v>
      </c>
      <c r="E26" s="229">
        <f>SUM(E27:E28)</f>
        <v>0</v>
      </c>
      <c r="F26" s="229">
        <f>SUM(F27:F28)</f>
        <v>24883800</v>
      </c>
      <c r="G26" s="230"/>
      <c r="H26" s="231">
        <f>SUM(H27:H28)</f>
        <v>22193420</v>
      </c>
      <c r="I26" s="232"/>
      <c r="J26" s="231"/>
      <c r="K26" s="231"/>
      <c r="L26" s="230">
        <f>F26-H26</f>
        <v>2690380</v>
      </c>
      <c r="M26" s="261"/>
    </row>
    <row r="27" spans="1:18" s="263" customFormat="1" ht="35.15" customHeight="1" x14ac:dyDescent="0.35">
      <c r="A27" s="241" t="s">
        <v>334</v>
      </c>
      <c r="B27" s="242"/>
      <c r="C27" s="243" t="s">
        <v>311</v>
      </c>
      <c r="D27" s="217">
        <v>8210000</v>
      </c>
      <c r="E27" s="217">
        <v>0</v>
      </c>
      <c r="F27" s="217">
        <f>D27+E27</f>
        <v>8210000</v>
      </c>
      <c r="G27" s="220">
        <f>F27/$F$46*100</f>
        <v>0.1875187818988962</v>
      </c>
      <c r="H27" s="314">
        <v>5630000</v>
      </c>
      <c r="I27" s="220">
        <f t="shared" ref="I27:I28" si="8">H27/F27*100</f>
        <v>68.574908647990256</v>
      </c>
      <c r="J27" s="221">
        <f t="shared" ref="J27" si="9">I27</f>
        <v>68.574908647990256</v>
      </c>
      <c r="K27" s="222">
        <f>J27*G27/100</f>
        <v>0.12859083338499216</v>
      </c>
      <c r="L27" s="223">
        <f>F27-H27</f>
        <v>2580000</v>
      </c>
      <c r="M27" s="244"/>
    </row>
    <row r="28" spans="1:18" s="263" customFormat="1" ht="35.15" customHeight="1" x14ac:dyDescent="0.35">
      <c r="A28" s="241" t="s">
        <v>316</v>
      </c>
      <c r="B28" s="242"/>
      <c r="C28" s="243" t="s">
        <v>315</v>
      </c>
      <c r="D28" s="217">
        <v>16673800</v>
      </c>
      <c r="E28" s="217">
        <v>0</v>
      </c>
      <c r="F28" s="217">
        <f>D28+E28</f>
        <v>16673800</v>
      </c>
      <c r="G28" s="220">
        <f>F28/$F$46*100</f>
        <v>0.38083442943067181</v>
      </c>
      <c r="H28" s="314">
        <v>16563420</v>
      </c>
      <c r="I28" s="220">
        <f t="shared" si="8"/>
        <v>99.338003334572804</v>
      </c>
      <c r="J28" s="221">
        <f t="shared" ref="J28" si="10">I28</f>
        <v>99.338003334572804</v>
      </c>
      <c r="K28" s="222">
        <f>J28*G28/100</f>
        <v>0.37831331820704206</v>
      </c>
      <c r="L28" s="223">
        <f>F28-H28</f>
        <v>110380</v>
      </c>
      <c r="M28" s="244"/>
      <c r="R28" s="263">
        <v>16563420</v>
      </c>
    </row>
    <row r="29" spans="1:18" s="263" customFormat="1" ht="15" customHeight="1" x14ac:dyDescent="0.35">
      <c r="A29" s="241"/>
      <c r="B29" s="262"/>
      <c r="C29" s="243"/>
      <c r="D29" s="217"/>
      <c r="E29" s="217"/>
      <c r="F29" s="218"/>
      <c r="G29" s="220"/>
      <c r="H29" s="219"/>
      <c r="I29" s="220"/>
      <c r="J29" s="221"/>
      <c r="K29" s="222"/>
      <c r="L29" s="223"/>
      <c r="M29" s="244"/>
    </row>
    <row r="30" spans="1:18" s="263" customFormat="1" ht="35.15" customHeight="1" x14ac:dyDescent="0.35">
      <c r="A30" s="255" t="s">
        <v>263</v>
      </c>
      <c r="B30" s="256"/>
      <c r="C30" s="234" t="s">
        <v>264</v>
      </c>
      <c r="D30" s="225">
        <f>SUM(D31)</f>
        <v>96600000</v>
      </c>
      <c r="E30" s="225">
        <f>SUM(E31)</f>
        <v>0</v>
      </c>
      <c r="F30" s="225">
        <f>F31</f>
        <v>96600000</v>
      </c>
      <c r="G30" s="226"/>
      <c r="H30" s="227">
        <f>H31</f>
        <v>69000000</v>
      </c>
      <c r="I30" s="228"/>
      <c r="J30" s="227"/>
      <c r="K30" s="227"/>
      <c r="L30" s="226">
        <f>F30-H30</f>
        <v>27600000</v>
      </c>
      <c r="M30" s="257"/>
    </row>
    <row r="31" spans="1:18" s="263" customFormat="1" ht="50.15" customHeight="1" x14ac:dyDescent="0.35">
      <c r="A31" s="258" t="s">
        <v>258</v>
      </c>
      <c r="B31" s="259"/>
      <c r="C31" s="235" t="s">
        <v>205</v>
      </c>
      <c r="D31" s="229">
        <f>SUM(D32:D32)</f>
        <v>96600000</v>
      </c>
      <c r="E31" s="229">
        <f>SUM(E32:E32)</f>
        <v>0</v>
      </c>
      <c r="F31" s="229">
        <f>F32</f>
        <v>96600000</v>
      </c>
      <c r="G31" s="230"/>
      <c r="H31" s="231">
        <f>SUM(H32:H32)</f>
        <v>69000000</v>
      </c>
      <c r="I31" s="232"/>
      <c r="J31" s="231"/>
      <c r="K31" s="231"/>
      <c r="L31" s="230">
        <f>F31-H31</f>
        <v>27600000</v>
      </c>
      <c r="M31" s="260"/>
    </row>
    <row r="32" spans="1:18" s="263" customFormat="1" ht="35.15" customHeight="1" x14ac:dyDescent="0.35">
      <c r="A32" s="241" t="s">
        <v>321</v>
      </c>
      <c r="B32" s="262"/>
      <c r="C32" s="236" t="s">
        <v>310</v>
      </c>
      <c r="D32" s="217">
        <v>96600000</v>
      </c>
      <c r="E32" s="217">
        <v>0</v>
      </c>
      <c r="F32" s="217">
        <f>D32+E32</f>
        <v>96600000</v>
      </c>
      <c r="G32" s="220">
        <f>F32/$F$46*100</f>
        <v>2.2063720257531516</v>
      </c>
      <c r="H32" s="314">
        <v>69000000</v>
      </c>
      <c r="I32" s="220">
        <f>H32/F32*100</f>
        <v>71.428571428571431</v>
      </c>
      <c r="J32" s="221">
        <f t="shared" ref="J32" si="11">I32</f>
        <v>71.428571428571431</v>
      </c>
      <c r="K32" s="222">
        <f>J32*G32/100</f>
        <v>1.5759800183951083</v>
      </c>
      <c r="L32" s="223">
        <f>F32-H32</f>
        <v>27600000</v>
      </c>
      <c r="M32" s="244"/>
      <c r="R32" s="263">
        <v>69000000</v>
      </c>
    </row>
    <row r="33" spans="1:18" s="263" customFormat="1" ht="35.15" customHeight="1" x14ac:dyDescent="0.35">
      <c r="A33" s="255" t="s">
        <v>265</v>
      </c>
      <c r="B33" s="256"/>
      <c r="C33" s="234" t="s">
        <v>266</v>
      </c>
      <c r="D33" s="225">
        <f>SUM(D34,D36,D39)</f>
        <v>4003813174</v>
      </c>
      <c r="E33" s="225">
        <f>SUM(E36)</f>
        <v>0</v>
      </c>
      <c r="F33" s="225">
        <f>SUM(F34,F36,F39)</f>
        <v>4003813174</v>
      </c>
      <c r="G33" s="226"/>
      <c r="H33" s="227">
        <f>SUM(H36,H34,H39)</f>
        <v>1009532836</v>
      </c>
      <c r="I33" s="228"/>
      <c r="J33" s="227"/>
      <c r="K33" s="227"/>
      <c r="L33" s="226">
        <f>F33-H33</f>
        <v>2994280338</v>
      </c>
      <c r="M33" s="257"/>
    </row>
    <row r="34" spans="1:18" s="263" customFormat="1" ht="16" customHeight="1" x14ac:dyDescent="0.35">
      <c r="A34" s="258" t="s">
        <v>228</v>
      </c>
      <c r="B34" s="259"/>
      <c r="C34" s="235" t="s">
        <v>209</v>
      </c>
      <c r="D34" s="229">
        <f>SUM(D35)</f>
        <v>71690000</v>
      </c>
      <c r="E34" s="229">
        <f>SUM(E35:E36)</f>
        <v>0</v>
      </c>
      <c r="F34" s="229">
        <f>SUM(F35)</f>
        <v>71690000</v>
      </c>
      <c r="G34" s="230"/>
      <c r="H34" s="231">
        <f>SUM(H35)</f>
        <v>53050000</v>
      </c>
      <c r="I34" s="232"/>
      <c r="J34" s="231"/>
      <c r="K34" s="231"/>
      <c r="L34" s="230">
        <f>F34-H34</f>
        <v>18640000</v>
      </c>
      <c r="M34" s="260"/>
    </row>
    <row r="35" spans="1:18" s="263" customFormat="1" ht="35.15" customHeight="1" x14ac:dyDescent="0.35">
      <c r="A35" s="241" t="s">
        <v>277</v>
      </c>
      <c r="B35" s="262"/>
      <c r="C35" s="236" t="s">
        <v>278</v>
      </c>
      <c r="D35" s="217">
        <v>71690000</v>
      </c>
      <c r="E35" s="217">
        <v>0</v>
      </c>
      <c r="F35" s="217">
        <f>D35+E35</f>
        <v>71690000</v>
      </c>
      <c r="G35" s="220">
        <f>F35/$F$46*100</f>
        <v>1.6374203988223959</v>
      </c>
      <c r="H35" s="314">
        <v>53050000</v>
      </c>
      <c r="I35" s="220">
        <f>H35/F35*100</f>
        <v>73.999163063188732</v>
      </c>
      <c r="J35" s="221">
        <f t="shared" ref="J35" si="12">I35</f>
        <v>73.999163063188732</v>
      </c>
      <c r="K35" s="222">
        <f>J35*G35/100</f>
        <v>1.2116773909545</v>
      </c>
      <c r="L35" s="223">
        <f t="shared" ref="L35" si="13">F35-H35</f>
        <v>18640000</v>
      </c>
      <c r="M35" s="244"/>
      <c r="R35" s="263">
        <v>53050000</v>
      </c>
    </row>
    <row r="36" spans="1:18" s="263" customFormat="1" ht="16" customHeight="1" x14ac:dyDescent="0.35">
      <c r="A36" s="258" t="s">
        <v>275</v>
      </c>
      <c r="B36" s="259"/>
      <c r="C36" s="235" t="s">
        <v>276</v>
      </c>
      <c r="D36" s="229">
        <f>SUM(D37:D38)</f>
        <v>3695185994</v>
      </c>
      <c r="E36" s="229">
        <f>SUM(E37:E38)</f>
        <v>0</v>
      </c>
      <c r="F36" s="229">
        <f>SUM(F37:F38)</f>
        <v>3695185994</v>
      </c>
      <c r="G36" s="230"/>
      <c r="H36" s="231">
        <f>SUM(H37:H38)</f>
        <v>937532836</v>
      </c>
      <c r="I36" s="232"/>
      <c r="J36" s="231"/>
      <c r="K36" s="231"/>
      <c r="L36" s="230">
        <f>F36-H36</f>
        <v>2757653158</v>
      </c>
      <c r="M36" s="260"/>
    </row>
    <row r="37" spans="1:18" s="263" customFormat="1" ht="16" customHeight="1" x14ac:dyDescent="0.35">
      <c r="A37" s="241" t="s">
        <v>279</v>
      </c>
      <c r="B37" s="262"/>
      <c r="C37" s="236" t="s">
        <v>280</v>
      </c>
      <c r="D37" s="217">
        <v>3684259994</v>
      </c>
      <c r="E37" s="217">
        <v>0</v>
      </c>
      <c r="F37" s="217">
        <f t="shared" ref="F37:F38" si="14">D37+E37</f>
        <v>3684259994</v>
      </c>
      <c r="G37" s="220">
        <f>F37/$F$46*100</f>
        <v>84.149567146615681</v>
      </c>
      <c r="H37" s="318">
        <v>926972836</v>
      </c>
      <c r="I37" s="220">
        <f t="shared" ref="I37:I38" si="15">H37/F37*100</f>
        <v>25.160353436229286</v>
      </c>
      <c r="J37" s="221">
        <f t="shared" ref="J37:J38" si="16">I37</f>
        <v>25.160353436229286</v>
      </c>
      <c r="K37" s="222">
        <f>J37*G37/100</f>
        <v>21.17232850914559</v>
      </c>
      <c r="L37" s="223">
        <f t="shared" ref="L37:L38" si="17">F37-H37</f>
        <v>2757287158</v>
      </c>
      <c r="M37" s="244"/>
      <c r="R37" s="263">
        <v>926972836</v>
      </c>
    </row>
    <row r="38" spans="1:18" s="263" customFormat="1" ht="16" customHeight="1" x14ac:dyDescent="0.35">
      <c r="A38" s="241" t="s">
        <v>293</v>
      </c>
      <c r="B38" s="262"/>
      <c r="C38" s="236" t="s">
        <v>294</v>
      </c>
      <c r="D38" s="217">
        <v>10926000</v>
      </c>
      <c r="E38" s="217">
        <v>0</v>
      </c>
      <c r="F38" s="217">
        <f t="shared" si="14"/>
        <v>10926000</v>
      </c>
      <c r="G38" s="220">
        <f>F38/$F$46*100</f>
        <v>0.24955300986934714</v>
      </c>
      <c r="H38" s="219">
        <v>10560000</v>
      </c>
      <c r="I38" s="220">
        <f t="shared" si="15"/>
        <v>96.650192202086771</v>
      </c>
      <c r="J38" s="221">
        <f t="shared" si="16"/>
        <v>96.650192202086771</v>
      </c>
      <c r="K38" s="222">
        <f>J38*G38/100</f>
        <v>0.24119346368481659</v>
      </c>
      <c r="L38" s="223">
        <f t="shared" si="17"/>
        <v>366000</v>
      </c>
      <c r="M38" s="244"/>
    </row>
    <row r="39" spans="1:18" s="263" customFormat="1" ht="31.5" customHeight="1" x14ac:dyDescent="0.35">
      <c r="A39" s="258" t="s">
        <v>322</v>
      </c>
      <c r="B39" s="259"/>
      <c r="C39" s="235" t="s">
        <v>323</v>
      </c>
      <c r="D39" s="229">
        <f>SUM(D40:D41)</f>
        <v>236937180</v>
      </c>
      <c r="E39" s="229">
        <f>SUM(E40:E41)</f>
        <v>0</v>
      </c>
      <c r="F39" s="229">
        <f>SUM(F40:F41)</f>
        <v>236937180</v>
      </c>
      <c r="G39" s="230"/>
      <c r="H39" s="231">
        <f>SUM(H40:H41)</f>
        <v>18950000</v>
      </c>
      <c r="I39" s="232"/>
      <c r="J39" s="231"/>
      <c r="K39" s="231"/>
      <c r="L39" s="230">
        <f>F39-H39</f>
        <v>217987180</v>
      </c>
      <c r="M39" s="260"/>
    </row>
    <row r="40" spans="1:18" s="263" customFormat="1" ht="32.25" customHeight="1" x14ac:dyDescent="0.35">
      <c r="A40" s="241" t="s">
        <v>324</v>
      </c>
      <c r="B40" s="262"/>
      <c r="C40" s="236" t="s">
        <v>326</v>
      </c>
      <c r="D40" s="217">
        <v>16950000</v>
      </c>
      <c r="E40" s="217">
        <v>0</v>
      </c>
      <c r="F40" s="217">
        <f t="shared" ref="F40:F41" si="18">D40+E40</f>
        <v>16950000</v>
      </c>
      <c r="G40" s="220">
        <f>F40/$F$46*100</f>
        <v>0.38714291756227659</v>
      </c>
      <c r="H40" s="219">
        <v>6750000</v>
      </c>
      <c r="I40" s="220">
        <f t="shared" ref="I40:I41" si="19">H40/F40*100</f>
        <v>39.823008849557525</v>
      </c>
      <c r="J40" s="221">
        <f t="shared" ref="J40:J41" si="20">I40</f>
        <v>39.823008849557525</v>
      </c>
      <c r="K40" s="222">
        <f>J40*G40/100</f>
        <v>0.1541719583212606</v>
      </c>
      <c r="L40" s="223">
        <f t="shared" ref="L40:L41" si="21">F40-H40</f>
        <v>10200000</v>
      </c>
      <c r="M40" s="244"/>
    </row>
    <row r="41" spans="1:18" s="263" customFormat="1" ht="46.5" customHeight="1" x14ac:dyDescent="0.35">
      <c r="A41" s="241" t="s">
        <v>325</v>
      </c>
      <c r="B41" s="262"/>
      <c r="C41" s="236" t="s">
        <v>327</v>
      </c>
      <c r="D41" s="217">
        <v>219987180</v>
      </c>
      <c r="E41" s="217">
        <v>0</v>
      </c>
      <c r="F41" s="217">
        <f t="shared" si="18"/>
        <v>219987180</v>
      </c>
      <c r="G41" s="220">
        <f>F41/$F$46*100</f>
        <v>5.0245710142476518</v>
      </c>
      <c r="H41" s="219">
        <v>12200000</v>
      </c>
      <c r="I41" s="220">
        <f t="shared" si="19"/>
        <v>5.5457777130467329</v>
      </c>
      <c r="J41" s="221">
        <f t="shared" si="20"/>
        <v>5.5457777130467329</v>
      </c>
      <c r="K41" s="222">
        <f>J41*G41/100</f>
        <v>0.27865153948435245</v>
      </c>
      <c r="L41" s="223">
        <f t="shared" si="21"/>
        <v>207787180</v>
      </c>
      <c r="M41" s="244"/>
    </row>
    <row r="42" spans="1:18" s="263" customFormat="1" ht="15" customHeight="1" x14ac:dyDescent="0.35">
      <c r="A42" s="241"/>
      <c r="B42" s="262"/>
      <c r="C42" s="236"/>
      <c r="D42" s="217"/>
      <c r="E42" s="217"/>
      <c r="F42" s="218"/>
      <c r="G42" s="220"/>
      <c r="H42" s="219"/>
      <c r="I42" s="220"/>
      <c r="J42" s="221"/>
      <c r="K42" s="222"/>
      <c r="L42" s="223"/>
      <c r="M42" s="244"/>
    </row>
    <row r="43" spans="1:18" s="263" customFormat="1" ht="35.15" customHeight="1" x14ac:dyDescent="0.35">
      <c r="A43" s="255" t="s">
        <v>271</v>
      </c>
      <c r="B43" s="256"/>
      <c r="C43" s="234" t="s">
        <v>272</v>
      </c>
      <c r="D43" s="225">
        <f>SUM(D44)</f>
        <v>14989000</v>
      </c>
      <c r="E43" s="225">
        <f>SUM(E44)</f>
        <v>0</v>
      </c>
      <c r="F43" s="225">
        <f>SUM(F44)</f>
        <v>14989000</v>
      </c>
      <c r="G43" s="226"/>
      <c r="H43" s="227">
        <f>SUM(H44)</f>
        <v>14989000</v>
      </c>
      <c r="I43" s="228"/>
      <c r="J43" s="227"/>
      <c r="K43" s="227"/>
      <c r="L43" s="226">
        <f>F43-H43</f>
        <v>0</v>
      </c>
      <c r="M43" s="257"/>
    </row>
    <row r="44" spans="1:18" s="263" customFormat="1" ht="48.75" customHeight="1" x14ac:dyDescent="0.35">
      <c r="A44" s="258" t="s">
        <v>223</v>
      </c>
      <c r="B44" s="259"/>
      <c r="C44" s="235" t="s">
        <v>320</v>
      </c>
      <c r="D44" s="229">
        <f>SUM(D45)</f>
        <v>14989000</v>
      </c>
      <c r="E44" s="229">
        <f>SUM(E45:E47)</f>
        <v>0</v>
      </c>
      <c r="F44" s="229">
        <f>SUM(F45)</f>
        <v>14989000</v>
      </c>
      <c r="G44" s="230"/>
      <c r="H44" s="231">
        <f>SUM(H45)</f>
        <v>14989000</v>
      </c>
      <c r="I44" s="232"/>
      <c r="J44" s="231"/>
      <c r="K44" s="231"/>
      <c r="L44" s="230">
        <f>F44-H44</f>
        <v>0</v>
      </c>
      <c r="M44" s="260"/>
    </row>
    <row r="45" spans="1:18" s="263" customFormat="1" ht="35.15" customHeight="1" x14ac:dyDescent="0.35">
      <c r="A45" s="241" t="s">
        <v>225</v>
      </c>
      <c r="B45" s="262"/>
      <c r="C45" s="236" t="s">
        <v>220</v>
      </c>
      <c r="D45" s="217">
        <v>14989000</v>
      </c>
      <c r="E45" s="217">
        <v>0</v>
      </c>
      <c r="F45" s="217">
        <f>D45+E45</f>
        <v>14989000</v>
      </c>
      <c r="G45" s="220">
        <f>F45/$F$46*100</f>
        <v>0.34235310863368518</v>
      </c>
      <c r="H45" s="219">
        <v>14989000</v>
      </c>
      <c r="I45" s="220">
        <f>H45/F45*100</f>
        <v>100</v>
      </c>
      <c r="J45" s="221">
        <f t="shared" ref="J45" si="22">I45</f>
        <v>100</v>
      </c>
      <c r="K45" s="222">
        <f>J45*G45/100</f>
        <v>0.34235310863368518</v>
      </c>
      <c r="L45" s="223">
        <f t="shared" ref="L45" si="23">F45-H45</f>
        <v>0</v>
      </c>
      <c r="M45" s="244"/>
    </row>
    <row r="46" spans="1:18" s="263" customFormat="1" ht="20.149999999999999" customHeight="1" x14ac:dyDescent="0.35">
      <c r="A46" s="448" t="s">
        <v>145</v>
      </c>
      <c r="B46" s="449"/>
      <c r="C46" s="449"/>
      <c r="D46" s="237">
        <f>D10+D30+D33+D43</f>
        <v>4378228099</v>
      </c>
      <c r="E46" s="237">
        <f>E10+E30+E33</f>
        <v>0</v>
      </c>
      <c r="F46" s="237">
        <f>F10+F30+F33+F43</f>
        <v>4378228099</v>
      </c>
      <c r="G46" s="238">
        <f>SUM(G12:G45)</f>
        <v>100</v>
      </c>
      <c r="H46" s="237">
        <f>H10+H30+H33+H43</f>
        <v>1306446985</v>
      </c>
      <c r="I46" s="269">
        <f>H46/F46*100</f>
        <v>29.839628165978748</v>
      </c>
      <c r="J46" s="238">
        <f>I46</f>
        <v>29.839628165978748</v>
      </c>
      <c r="K46" s="238">
        <f>J46*G46/100</f>
        <v>29.839628165978748</v>
      </c>
      <c r="L46" s="237">
        <f>L10+L30+L33+L43</f>
        <v>3071781114</v>
      </c>
      <c r="M46" s="270"/>
    </row>
    <row r="47" spans="1:18" s="263" customFormat="1" ht="15.5" x14ac:dyDescent="0.35">
      <c r="A47" s="271"/>
      <c r="B47" s="272"/>
      <c r="C47" s="272"/>
      <c r="D47" s="273"/>
      <c r="E47" s="274"/>
      <c r="F47" s="274"/>
      <c r="G47" s="275"/>
      <c r="H47" s="274"/>
      <c r="I47" s="276"/>
      <c r="J47" s="276"/>
      <c r="K47" s="276"/>
      <c r="L47" s="310"/>
      <c r="M47" s="277"/>
    </row>
    <row r="48" spans="1:18" s="263" customFormat="1" ht="15.5" x14ac:dyDescent="0.35">
      <c r="A48" s="271"/>
      <c r="B48" s="272"/>
      <c r="C48" s="272"/>
      <c r="D48" s="274"/>
      <c r="E48" s="274"/>
      <c r="F48" s="278"/>
      <c r="G48" s="275"/>
      <c r="H48" s="278"/>
      <c r="I48" s="450" t="s">
        <v>342</v>
      </c>
      <c r="J48" s="450"/>
      <c r="K48" s="450"/>
      <c r="L48" s="276"/>
      <c r="M48" s="277"/>
    </row>
    <row r="49" spans="1:13" s="263" customFormat="1" ht="15.5" x14ac:dyDescent="0.35">
      <c r="A49" s="271"/>
      <c r="B49" s="272"/>
      <c r="C49" s="272"/>
      <c r="D49" s="279"/>
      <c r="E49" s="274"/>
      <c r="F49" s="279"/>
      <c r="G49" s="280"/>
      <c r="H49" s="278"/>
      <c r="I49" s="450" t="s">
        <v>177</v>
      </c>
      <c r="J49" s="450"/>
      <c r="K49" s="450"/>
      <c r="L49" s="276"/>
      <c r="M49" s="277"/>
    </row>
    <row r="50" spans="1:13" s="263" customFormat="1" ht="15.5" x14ac:dyDescent="0.35">
      <c r="A50" s="271"/>
      <c r="B50" s="272"/>
      <c r="C50" s="272"/>
      <c r="D50" s="274"/>
      <c r="E50" s="274"/>
      <c r="F50" s="279"/>
      <c r="G50" s="280"/>
      <c r="H50" s="289"/>
      <c r="I50" s="450"/>
      <c r="J50" s="450"/>
      <c r="K50" s="450"/>
      <c r="L50" s="276"/>
      <c r="M50" s="277"/>
    </row>
    <row r="51" spans="1:13" s="263" customFormat="1" ht="15.5" x14ac:dyDescent="0.35">
      <c r="A51" s="271"/>
      <c r="B51" s="272"/>
      <c r="C51" s="272"/>
      <c r="D51" s="274"/>
      <c r="E51" s="274"/>
      <c r="F51" s="279"/>
      <c r="G51" s="280"/>
      <c r="H51" s="289"/>
      <c r="I51" s="281"/>
      <c r="J51" s="281"/>
      <c r="K51" s="281"/>
      <c r="L51" s="276"/>
      <c r="M51" s="277"/>
    </row>
    <row r="52" spans="1:13" s="263" customFormat="1" ht="15.5" x14ac:dyDescent="0.35">
      <c r="A52" s="271"/>
      <c r="B52" s="272"/>
      <c r="C52" s="272"/>
      <c r="D52" s="274"/>
      <c r="E52" s="274"/>
      <c r="F52" s="274"/>
      <c r="G52" s="280"/>
      <c r="H52" s="289"/>
      <c r="I52" s="282"/>
      <c r="J52" s="281"/>
      <c r="K52" s="282"/>
      <c r="L52" s="276"/>
      <c r="M52" s="277"/>
    </row>
    <row r="53" spans="1:13" s="263" customFormat="1" ht="18.5" x14ac:dyDescent="0.35">
      <c r="A53" s="271"/>
      <c r="B53" s="272"/>
      <c r="C53" s="278"/>
      <c r="D53" s="274"/>
      <c r="E53" s="274"/>
      <c r="F53" s="274"/>
      <c r="G53" s="280"/>
      <c r="H53" s="278"/>
      <c r="I53" s="451" t="s">
        <v>329</v>
      </c>
      <c r="J53" s="451"/>
      <c r="K53" s="451"/>
      <c r="L53" s="276"/>
      <c r="M53" s="277"/>
    </row>
    <row r="54" spans="1:13" s="263" customFormat="1" ht="15.5" x14ac:dyDescent="0.35">
      <c r="A54" s="283"/>
      <c r="B54" s="284"/>
      <c r="C54" s="284"/>
      <c r="D54" s="285"/>
      <c r="E54" s="285"/>
      <c r="F54" s="285"/>
      <c r="G54" s="286"/>
      <c r="H54" s="287"/>
      <c r="I54" s="444" t="s">
        <v>330</v>
      </c>
      <c r="J54" s="444"/>
      <c r="K54" s="444"/>
      <c r="L54" s="311"/>
      <c r="M54" s="288"/>
    </row>
  </sheetData>
  <protectedRanges>
    <protectedRange sqref="H15" name="Range1_2"/>
    <protectedRange sqref="H33:H45" name="Range1_3"/>
  </protectedRanges>
  <mergeCells count="20"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A46:C46"/>
    <mergeCell ref="L6:L8"/>
    <mergeCell ref="M6:M9"/>
    <mergeCell ref="H7:I8"/>
    <mergeCell ref="J7:K8"/>
    <mergeCell ref="I48:K48"/>
    <mergeCell ref="I49:K49"/>
    <mergeCell ref="I50:K50"/>
    <mergeCell ref="I53:K53"/>
    <mergeCell ref="I54:K54"/>
  </mergeCells>
  <pageMargins left="0.51" right="0.55118110236220474" top="0.75" bottom="0.31496062992125984" header="0.31496062992125984" footer="0.25"/>
  <pageSetup paperSize="5" scale="75" orientation="landscape" horizontalDpi="4294967293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8"/>
  <sheetViews>
    <sheetView view="pageBreakPreview" topLeftCell="B45" zoomScale="80" zoomScaleNormal="70" zoomScaleSheetLayoutView="80" workbookViewId="0">
      <selection activeCell="C47" sqref="C47"/>
    </sheetView>
  </sheetViews>
  <sheetFormatPr defaultColWidth="9.1796875" defaultRowHeight="14.5" x14ac:dyDescent="0.35"/>
  <cols>
    <col min="1" max="1" width="18.81640625" style="88" customWidth="1"/>
    <col min="2" max="2" width="1.26953125" style="88" customWidth="1"/>
    <col min="3" max="3" width="50.453125" style="88" customWidth="1"/>
    <col min="4" max="6" width="15.7265625" style="88" hidden="1" customWidth="1"/>
    <col min="7" max="7" width="10.54296875" style="88" hidden="1" customWidth="1"/>
    <col min="8" max="8" width="17.7265625" style="325" customWidth="1"/>
    <col min="9" max="9" width="8.26953125" style="88" customWidth="1"/>
    <col min="10" max="10" width="8.453125" style="88" customWidth="1"/>
    <col min="11" max="11" width="16" style="88" customWidth="1"/>
    <col min="12" max="12" width="17.26953125" style="88" customWidth="1"/>
    <col min="13" max="13" width="10.453125" style="88" customWidth="1"/>
    <col min="14" max="14" width="6.453125" style="88" customWidth="1"/>
    <col min="15" max="15" width="9.1796875" style="88"/>
    <col min="16" max="16" width="15.1796875" style="88" customWidth="1"/>
    <col min="17" max="16384" width="9.1796875" style="88"/>
  </cols>
  <sheetData>
    <row r="1" spans="1:13" s="245" customFormat="1" ht="27" customHeight="1" x14ac:dyDescent="0.35">
      <c r="A1" s="452" t="s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4"/>
    </row>
    <row r="2" spans="1:13" s="263" customFormat="1" ht="28.5" customHeight="1" x14ac:dyDescent="0.35">
      <c r="A2" s="455" t="s">
        <v>319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</row>
    <row r="3" spans="1:13" s="263" customFormat="1" ht="15" customHeight="1" x14ac:dyDescent="0.35">
      <c r="A3" s="246"/>
      <c r="B3" s="247"/>
      <c r="C3" s="248"/>
      <c r="D3" s="248"/>
      <c r="E3" s="248"/>
      <c r="F3" s="248"/>
      <c r="G3" s="248"/>
      <c r="H3" s="320"/>
      <c r="I3" s="248"/>
      <c r="J3" s="248"/>
      <c r="K3" s="248"/>
      <c r="L3" s="248"/>
      <c r="M3" s="249"/>
    </row>
    <row r="4" spans="1:13" s="263" customFormat="1" ht="15" customHeight="1" x14ac:dyDescent="0.35">
      <c r="A4" s="250" t="s">
        <v>273</v>
      </c>
      <c r="B4" s="251" t="s">
        <v>1</v>
      </c>
      <c r="C4" s="252" t="s">
        <v>318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</row>
    <row r="5" spans="1:13" s="263" customFormat="1" ht="15" customHeight="1" x14ac:dyDescent="0.35">
      <c r="A5" s="250" t="s">
        <v>3</v>
      </c>
      <c r="B5" s="251" t="s">
        <v>1</v>
      </c>
      <c r="C5" s="252" t="s">
        <v>340</v>
      </c>
      <c r="D5" s="458"/>
      <c r="E5" s="458"/>
      <c r="F5" s="253"/>
      <c r="G5" s="253"/>
      <c r="H5" s="253"/>
      <c r="I5" s="251"/>
      <c r="J5" s="251"/>
      <c r="K5" s="251"/>
      <c r="L5" s="251"/>
      <c r="M5" s="254"/>
    </row>
    <row r="6" spans="1:13" s="263" customFormat="1" ht="16" customHeight="1" x14ac:dyDescent="0.35">
      <c r="A6" s="459" t="s">
        <v>4</v>
      </c>
      <c r="B6" s="462" t="s">
        <v>5</v>
      </c>
      <c r="C6" s="463"/>
      <c r="D6" s="468" t="s">
        <v>189</v>
      </c>
      <c r="E6" s="445" t="s">
        <v>190</v>
      </c>
      <c r="F6" s="445" t="s">
        <v>191</v>
      </c>
      <c r="G6" s="445" t="s">
        <v>9</v>
      </c>
      <c r="H6" s="471" t="s">
        <v>204</v>
      </c>
      <c r="I6" s="471"/>
      <c r="J6" s="471"/>
      <c r="K6" s="471"/>
      <c r="L6" s="445" t="s">
        <v>192</v>
      </c>
      <c r="M6" s="459" t="s">
        <v>12</v>
      </c>
    </row>
    <row r="7" spans="1:13" s="263" customFormat="1" ht="16" customHeight="1" x14ac:dyDescent="0.35">
      <c r="A7" s="460"/>
      <c r="B7" s="464"/>
      <c r="C7" s="465"/>
      <c r="D7" s="469"/>
      <c r="E7" s="446"/>
      <c r="F7" s="446"/>
      <c r="G7" s="446"/>
      <c r="H7" s="472" t="s">
        <v>13</v>
      </c>
      <c r="I7" s="473"/>
      <c r="J7" s="476" t="s">
        <v>14</v>
      </c>
      <c r="K7" s="463"/>
      <c r="L7" s="446"/>
      <c r="M7" s="460"/>
    </row>
    <row r="8" spans="1:13" s="263" customFormat="1" ht="16" customHeight="1" x14ac:dyDescent="0.35">
      <c r="A8" s="460"/>
      <c r="B8" s="464"/>
      <c r="C8" s="465"/>
      <c r="D8" s="469"/>
      <c r="E8" s="446"/>
      <c r="F8" s="446"/>
      <c r="G8" s="446"/>
      <c r="H8" s="474"/>
      <c r="I8" s="475"/>
      <c r="J8" s="477"/>
      <c r="K8" s="467"/>
      <c r="L8" s="446"/>
      <c r="M8" s="460"/>
    </row>
    <row r="9" spans="1:13" s="263" customFormat="1" ht="16" customHeight="1" x14ac:dyDescent="0.35">
      <c r="A9" s="461"/>
      <c r="B9" s="466"/>
      <c r="C9" s="467"/>
      <c r="D9" s="233" t="s">
        <v>15</v>
      </c>
      <c r="E9" s="240" t="s">
        <v>15</v>
      </c>
      <c r="F9" s="240" t="s">
        <v>15</v>
      </c>
      <c r="G9" s="470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61"/>
    </row>
    <row r="10" spans="1:13" s="263" customFormat="1" ht="30" customHeight="1" x14ac:dyDescent="0.35">
      <c r="A10" s="255" t="s">
        <v>261</v>
      </c>
      <c r="B10" s="256"/>
      <c r="C10" s="234" t="s">
        <v>262</v>
      </c>
      <c r="D10" s="225">
        <f>SUM(D11,D15,D20,D29,D33,D26)</f>
        <v>5995306710</v>
      </c>
      <c r="E10" s="225"/>
      <c r="F10" s="225">
        <f>SUM(F11,F15,F20,F29,F33,F26)</f>
        <v>5995306710</v>
      </c>
      <c r="G10" s="226"/>
      <c r="H10" s="227">
        <f>H11+H15+H20+H26+H29+H33</f>
        <v>4354229171</v>
      </c>
      <c r="I10" s="228"/>
      <c r="J10" s="227"/>
      <c r="K10" s="227"/>
      <c r="L10" s="226">
        <f>F10-H10</f>
        <v>1641077539</v>
      </c>
      <c r="M10" s="257"/>
    </row>
    <row r="11" spans="1:13" s="263" customFormat="1" ht="30" customHeight="1" x14ac:dyDescent="0.35">
      <c r="A11" s="258" t="s">
        <v>233</v>
      </c>
      <c r="B11" s="259"/>
      <c r="C11" s="235" t="s">
        <v>196</v>
      </c>
      <c r="D11" s="229">
        <f>SUM(D12:D13)</f>
        <v>32976600</v>
      </c>
      <c r="E11" s="229"/>
      <c r="F11" s="229">
        <f>SUM(F12:F13)</f>
        <v>32976600</v>
      </c>
      <c r="G11" s="230"/>
      <c r="H11" s="231">
        <f>SUM(H12:H13)</f>
        <v>24896600</v>
      </c>
      <c r="I11" s="232"/>
      <c r="J11" s="231"/>
      <c r="K11" s="231"/>
      <c r="L11" s="230">
        <f>F11-H11</f>
        <v>8080000</v>
      </c>
      <c r="M11" s="260"/>
    </row>
    <row r="12" spans="1:13" s="263" customFormat="1" ht="15" customHeight="1" x14ac:dyDescent="0.35">
      <c r="A12" s="241" t="s">
        <v>234</v>
      </c>
      <c r="B12" s="242"/>
      <c r="C12" s="236" t="s">
        <v>197</v>
      </c>
      <c r="D12" s="217">
        <v>18731600</v>
      </c>
      <c r="E12" s="217">
        <v>0</v>
      </c>
      <c r="F12" s="217">
        <f>D12</f>
        <v>18731600</v>
      </c>
      <c r="G12" s="220">
        <f>F12/$F$79*100</f>
        <v>0.16737617822612622</v>
      </c>
      <c r="H12" s="219">
        <v>12031600</v>
      </c>
      <c r="I12" s="220">
        <f>H12/F12*100</f>
        <v>64.231565910013018</v>
      </c>
      <c r="J12" s="221">
        <f>I12</f>
        <v>64.231565910013018</v>
      </c>
      <c r="K12" s="222">
        <f>J12*G12/100</f>
        <v>0.10750834023497513</v>
      </c>
      <c r="L12" s="223">
        <f>F12-H12</f>
        <v>6700000</v>
      </c>
      <c r="M12" s="244"/>
    </row>
    <row r="13" spans="1:13" s="263" customFormat="1" ht="15" customHeight="1" x14ac:dyDescent="0.35">
      <c r="A13" s="241" t="s">
        <v>235</v>
      </c>
      <c r="B13" s="242"/>
      <c r="C13" s="236" t="s">
        <v>287</v>
      </c>
      <c r="D13" s="217">
        <v>14245000</v>
      </c>
      <c r="E13" s="217">
        <v>0</v>
      </c>
      <c r="F13" s="217">
        <f>D13</f>
        <v>14245000</v>
      </c>
      <c r="G13" s="220">
        <f>F13/$F$79*100</f>
        <v>0.12728617196775333</v>
      </c>
      <c r="H13" s="219">
        <v>12865000</v>
      </c>
      <c r="I13" s="220">
        <f>H13/F13*100</f>
        <v>90.312390312390306</v>
      </c>
      <c r="J13" s="221">
        <f>I13</f>
        <v>90.312390312390306</v>
      </c>
      <c r="K13" s="222">
        <f>J13*G13/100</f>
        <v>0.11495518444121773</v>
      </c>
      <c r="L13" s="223">
        <f>F13-H13</f>
        <v>1380000</v>
      </c>
      <c r="M13" s="244"/>
    </row>
    <row r="14" spans="1:13" s="263" customFormat="1" ht="15" customHeight="1" x14ac:dyDescent="0.35">
      <c r="A14" s="241"/>
      <c r="B14" s="262"/>
      <c r="C14" s="236"/>
      <c r="D14" s="217"/>
      <c r="E14" s="217"/>
      <c r="F14" s="218"/>
      <c r="G14" s="220"/>
      <c r="H14" s="219"/>
      <c r="I14" s="220"/>
      <c r="J14" s="221"/>
      <c r="K14" s="222"/>
      <c r="L14" s="223"/>
      <c r="M14" s="244"/>
    </row>
    <row r="15" spans="1:13" s="263" customFormat="1" ht="15" customHeight="1" x14ac:dyDescent="0.35">
      <c r="A15" s="258" t="s">
        <v>236</v>
      </c>
      <c r="B15" s="259"/>
      <c r="C15" s="235" t="s">
        <v>199</v>
      </c>
      <c r="D15" s="229">
        <f>SUM(D16:D18)</f>
        <v>5466780745</v>
      </c>
      <c r="E15" s="229"/>
      <c r="F15" s="229">
        <f>SUM(F16:F18)</f>
        <v>5466780745</v>
      </c>
      <c r="G15" s="230"/>
      <c r="H15" s="231">
        <f>SUM(H16:H18)</f>
        <v>3941186024</v>
      </c>
      <c r="I15" s="232"/>
      <c r="J15" s="231"/>
      <c r="K15" s="231"/>
      <c r="L15" s="230">
        <f>F15-H15</f>
        <v>1525594721</v>
      </c>
      <c r="M15" s="261"/>
    </row>
    <row r="16" spans="1:13" s="263" customFormat="1" ht="15" customHeight="1" x14ac:dyDescent="0.35">
      <c r="A16" s="241" t="s">
        <v>237</v>
      </c>
      <c r="B16" s="242"/>
      <c r="C16" s="243" t="s">
        <v>239</v>
      </c>
      <c r="D16" s="217">
        <v>5081204017</v>
      </c>
      <c r="E16" s="217">
        <v>0</v>
      </c>
      <c r="F16" s="217">
        <f>D16+E16</f>
        <v>5081204017</v>
      </c>
      <c r="G16" s="220">
        <f>F16/$F$79*100</f>
        <v>45.40308938652867</v>
      </c>
      <c r="H16" s="352">
        <v>3677308350</v>
      </c>
      <c r="I16" s="220">
        <f t="shared" ref="I16:I18" si="0">H16/F16*100</f>
        <v>72.370806952386928</v>
      </c>
      <c r="J16" s="221">
        <f t="shared" ref="J16:J18" si="1">I16</f>
        <v>72.370806952386928</v>
      </c>
      <c r="K16" s="222">
        <f>J16*G16/100</f>
        <v>32.858582170344341</v>
      </c>
      <c r="L16" s="223">
        <f t="shared" ref="L16:L18" si="2">F16-H16</f>
        <v>1403895667</v>
      </c>
      <c r="M16" s="244"/>
    </row>
    <row r="17" spans="1:13" s="263" customFormat="1" ht="15" customHeight="1" x14ac:dyDescent="0.35">
      <c r="A17" s="241" t="s">
        <v>240</v>
      </c>
      <c r="B17" s="242"/>
      <c r="C17" s="243" t="s">
        <v>200</v>
      </c>
      <c r="D17" s="217">
        <f>274466928+92020000</f>
        <v>366486928</v>
      </c>
      <c r="E17" s="217">
        <v>0</v>
      </c>
      <c r="F17" s="217">
        <f t="shared" ref="F17:F18" si="3">D17+E17</f>
        <v>366486928</v>
      </c>
      <c r="G17" s="220">
        <f>F17/$F$79*100</f>
        <v>3.2747432882654706</v>
      </c>
      <c r="H17" s="352">
        <v>253657874</v>
      </c>
      <c r="I17" s="220">
        <f t="shared" si="0"/>
        <v>69.213348313476544</v>
      </c>
      <c r="J17" s="221">
        <f t="shared" si="1"/>
        <v>69.213348313476544</v>
      </c>
      <c r="K17" s="222">
        <f>J17*G17/100</f>
        <v>2.2665594784793752</v>
      </c>
      <c r="L17" s="223">
        <f t="shared" si="2"/>
        <v>112829054</v>
      </c>
      <c r="M17" s="244"/>
    </row>
    <row r="18" spans="1:13" s="263" customFormat="1" ht="15" customHeight="1" x14ac:dyDescent="0.35">
      <c r="A18" s="241" t="s">
        <v>288</v>
      </c>
      <c r="B18" s="242"/>
      <c r="C18" s="243" t="s">
        <v>289</v>
      </c>
      <c r="D18" s="217">
        <v>19089800</v>
      </c>
      <c r="E18" s="217">
        <v>0</v>
      </c>
      <c r="F18" s="217">
        <f t="shared" si="3"/>
        <v>19089800</v>
      </c>
      <c r="G18" s="220">
        <f>F18/$F$79*100</f>
        <v>0.1705768736841009</v>
      </c>
      <c r="H18" s="352">
        <v>10219800</v>
      </c>
      <c r="I18" s="220">
        <f t="shared" si="0"/>
        <v>53.535395865855065</v>
      </c>
      <c r="J18" s="221">
        <f t="shared" si="1"/>
        <v>53.535395865855065</v>
      </c>
      <c r="K18" s="222">
        <f>J18*G18/100</f>
        <v>9.131900458238297E-2</v>
      </c>
      <c r="L18" s="223">
        <f t="shared" si="2"/>
        <v>8870000</v>
      </c>
      <c r="M18" s="244"/>
    </row>
    <row r="19" spans="1:13" s="263" customFormat="1" ht="15" customHeight="1" x14ac:dyDescent="0.35">
      <c r="A19" s="241"/>
      <c r="B19" s="262"/>
      <c r="C19" s="243"/>
      <c r="D19" s="217"/>
      <c r="E19" s="217"/>
      <c r="F19" s="218"/>
      <c r="G19" s="220"/>
      <c r="H19" s="219"/>
      <c r="I19" s="220"/>
      <c r="J19" s="221"/>
      <c r="K19" s="222"/>
      <c r="L19" s="223"/>
      <c r="M19" s="244"/>
    </row>
    <row r="20" spans="1:13" s="263" customFormat="1" ht="15" customHeight="1" x14ac:dyDescent="0.35">
      <c r="A20" s="264" t="s">
        <v>231</v>
      </c>
      <c r="B20" s="259"/>
      <c r="C20" s="265" t="s">
        <v>193</v>
      </c>
      <c r="D20" s="229">
        <f>SUM(D21:D24)</f>
        <v>199459001</v>
      </c>
      <c r="E20" s="229"/>
      <c r="F20" s="229">
        <f>SUM(F21:F24)</f>
        <v>199459001</v>
      </c>
      <c r="G20" s="230"/>
      <c r="H20" s="231">
        <f>SUM(H21:H24)</f>
        <v>170244706</v>
      </c>
      <c r="I20" s="232"/>
      <c r="J20" s="231"/>
      <c r="K20" s="231"/>
      <c r="L20" s="230">
        <f>F20-H20</f>
        <v>29214295</v>
      </c>
      <c r="M20" s="266"/>
    </row>
    <row r="21" spans="1:13" s="263" customFormat="1" ht="15" customHeight="1" x14ac:dyDescent="0.35">
      <c r="A21" s="241" t="s">
        <v>232</v>
      </c>
      <c r="B21" s="242"/>
      <c r="C21" s="243" t="s">
        <v>42</v>
      </c>
      <c r="D21" s="219">
        <f>1968000+3403260</f>
        <v>5371260</v>
      </c>
      <c r="E21" s="217">
        <v>0</v>
      </c>
      <c r="F21" s="217">
        <f t="shared" ref="F21:F24" si="4">D21+E21</f>
        <v>5371260</v>
      </c>
      <c r="G21" s="220">
        <f t="shared" ref="G21:G24" si="5">F21/$F$79*100</f>
        <v>4.7994884102738833E-2</v>
      </c>
      <c r="H21" s="352">
        <v>4860305</v>
      </c>
      <c r="I21" s="220">
        <f t="shared" ref="I21:I24" si="6">H21/F21*100</f>
        <v>90.487241354914858</v>
      </c>
      <c r="J21" s="221">
        <f>I21</f>
        <v>90.487241354914858</v>
      </c>
      <c r="K21" s="222">
        <f>J21*G21/100</f>
        <v>4.3429246616056946E-2</v>
      </c>
      <c r="L21" s="223">
        <f t="shared" ref="L21:L24" si="7">F21-H21</f>
        <v>510955</v>
      </c>
      <c r="M21" s="267"/>
    </row>
    <row r="22" spans="1:13" s="263" customFormat="1" ht="15" customHeight="1" x14ac:dyDescent="0.35">
      <c r="A22" s="241" t="s">
        <v>241</v>
      </c>
      <c r="B22" s="242"/>
      <c r="C22" s="236" t="s">
        <v>194</v>
      </c>
      <c r="D22" s="219">
        <f>32694600+36988641</f>
        <v>69683241</v>
      </c>
      <c r="E22" s="217">
        <v>0</v>
      </c>
      <c r="F22" s="217">
        <f t="shared" si="4"/>
        <v>69683241</v>
      </c>
      <c r="G22" s="220">
        <f t="shared" si="5"/>
        <v>0.62265447505766225</v>
      </c>
      <c r="H22" s="352">
        <v>64326243</v>
      </c>
      <c r="I22" s="220">
        <f t="shared" si="6"/>
        <v>92.312358146487469</v>
      </c>
      <c r="J22" s="221">
        <f t="shared" ref="J22:J24" si="8">I22</f>
        <v>92.312358146487469</v>
      </c>
      <c r="K22" s="222">
        <f>J22*G22/100</f>
        <v>0.57478702903036061</v>
      </c>
      <c r="L22" s="223">
        <f t="shared" si="7"/>
        <v>5356998</v>
      </c>
      <c r="M22" s="244"/>
    </row>
    <row r="23" spans="1:13" s="263" customFormat="1" ht="15" customHeight="1" x14ac:dyDescent="0.35">
      <c r="A23" s="241" t="s">
        <v>242</v>
      </c>
      <c r="B23" s="242"/>
      <c r="C23" s="243" t="s">
        <v>40</v>
      </c>
      <c r="D23" s="219">
        <f>11274200+8710300</f>
        <v>19984500</v>
      </c>
      <c r="E23" s="217">
        <v>0</v>
      </c>
      <c r="F23" s="217">
        <f t="shared" si="4"/>
        <v>19984500</v>
      </c>
      <c r="G23" s="220">
        <f t="shared" si="5"/>
        <v>0.17857146393047146</v>
      </c>
      <c r="H23" s="352">
        <v>16457000</v>
      </c>
      <c r="I23" s="220">
        <f t="shared" si="6"/>
        <v>82.348820335760209</v>
      </c>
      <c r="J23" s="221">
        <f t="shared" si="8"/>
        <v>82.348820335760209</v>
      </c>
      <c r="K23" s="222">
        <f>J23*G23/100</f>
        <v>0.14705149400304079</v>
      </c>
      <c r="L23" s="223">
        <f t="shared" si="7"/>
        <v>3527500</v>
      </c>
      <c r="M23" s="244"/>
    </row>
    <row r="24" spans="1:13" s="263" customFormat="1" ht="15" customHeight="1" x14ac:dyDescent="0.35">
      <c r="A24" s="241" t="s">
        <v>243</v>
      </c>
      <c r="B24" s="242"/>
      <c r="C24" s="243" t="s">
        <v>195</v>
      </c>
      <c r="D24" s="219">
        <f>81595000+22825000</f>
        <v>104420000</v>
      </c>
      <c r="E24" s="217">
        <v>0</v>
      </c>
      <c r="F24" s="217">
        <f t="shared" si="4"/>
        <v>104420000</v>
      </c>
      <c r="G24" s="220">
        <f t="shared" si="5"/>
        <v>0.93304472284119355</v>
      </c>
      <c r="H24" s="352">
        <v>84601158</v>
      </c>
      <c r="I24" s="220">
        <f t="shared" si="6"/>
        <v>81.020070867649878</v>
      </c>
      <c r="J24" s="221">
        <f t="shared" si="8"/>
        <v>81.020070867649878</v>
      </c>
      <c r="K24" s="222">
        <f>J24*G24/100</f>
        <v>0.75595349567280234</v>
      </c>
      <c r="L24" s="223">
        <f t="shared" si="7"/>
        <v>19818842</v>
      </c>
      <c r="M24" s="244"/>
    </row>
    <row r="25" spans="1:13" s="263" customFormat="1" ht="15" customHeight="1" x14ac:dyDescent="0.35">
      <c r="A25" s="268"/>
      <c r="B25" s="242"/>
      <c r="C25" s="236"/>
      <c r="D25" s="217"/>
      <c r="E25" s="217"/>
      <c r="F25" s="218"/>
      <c r="G25" s="220"/>
      <c r="H25" s="219"/>
      <c r="I25" s="220"/>
      <c r="J25" s="221"/>
      <c r="K25" s="222"/>
      <c r="L25" s="223"/>
      <c r="M25" s="244"/>
    </row>
    <row r="26" spans="1:13" s="263" customFormat="1" ht="30" customHeight="1" x14ac:dyDescent="0.35">
      <c r="A26" s="258" t="s">
        <v>281</v>
      </c>
      <c r="B26" s="259"/>
      <c r="C26" s="235" t="s">
        <v>282</v>
      </c>
      <c r="D26" s="229">
        <f>SUM(D27:D27)</f>
        <v>7826943</v>
      </c>
      <c r="E26" s="229"/>
      <c r="F26" s="229">
        <f>SUM(F27:F27)</f>
        <v>7826943</v>
      </c>
      <c r="G26" s="230"/>
      <c r="H26" s="231">
        <f>H27</f>
        <v>7770000</v>
      </c>
      <c r="I26" s="232"/>
      <c r="J26" s="231"/>
      <c r="K26" s="231"/>
      <c r="L26" s="230">
        <f>F26-H26</f>
        <v>56943</v>
      </c>
      <c r="M26" s="261"/>
    </row>
    <row r="27" spans="1:13" s="263" customFormat="1" ht="15" customHeight="1" x14ac:dyDescent="0.35">
      <c r="A27" s="241" t="s">
        <v>283</v>
      </c>
      <c r="B27" s="242"/>
      <c r="C27" s="243" t="s">
        <v>284</v>
      </c>
      <c r="D27" s="217">
        <v>7826943</v>
      </c>
      <c r="E27" s="217">
        <v>0</v>
      </c>
      <c r="F27" s="217">
        <f t="shared" ref="F27" si="9">D27+E27</f>
        <v>7826943</v>
      </c>
      <c r="G27" s="220">
        <f>F27/$F$79*100</f>
        <v>6.9937635147757318E-2</v>
      </c>
      <c r="H27" s="219">
        <v>7770000</v>
      </c>
      <c r="I27" s="220">
        <f>H27/F27*100</f>
        <v>99.272474579155613</v>
      </c>
      <c r="J27" s="221">
        <f t="shared" ref="J27" si="10">I27</f>
        <v>99.272474579155613</v>
      </c>
      <c r="K27" s="222">
        <f>J27*G27/100</f>
        <v>6.9428821073319991E-2</v>
      </c>
      <c r="L27" s="223">
        <f>F27-H27</f>
        <v>56943</v>
      </c>
      <c r="M27" s="244"/>
    </row>
    <row r="28" spans="1:13" s="263" customFormat="1" ht="15" customHeight="1" x14ac:dyDescent="0.35">
      <c r="A28" s="241"/>
      <c r="B28" s="262"/>
      <c r="C28" s="243"/>
      <c r="D28" s="217"/>
      <c r="E28" s="217"/>
      <c r="F28" s="218"/>
      <c r="G28" s="220"/>
      <c r="H28" s="219"/>
      <c r="I28" s="220"/>
      <c r="J28" s="221"/>
      <c r="K28" s="222"/>
      <c r="L28" s="223"/>
      <c r="M28" s="244"/>
    </row>
    <row r="29" spans="1:13" s="263" customFormat="1" ht="30" customHeight="1" x14ac:dyDescent="0.35">
      <c r="A29" s="258" t="s">
        <v>244</v>
      </c>
      <c r="B29" s="259"/>
      <c r="C29" s="235" t="s">
        <v>201</v>
      </c>
      <c r="D29" s="229">
        <f>SUM(D30:D31)</f>
        <v>124316021</v>
      </c>
      <c r="E29" s="229"/>
      <c r="F29" s="229">
        <f>SUM(F30:F31)</f>
        <v>124316021</v>
      </c>
      <c r="G29" s="230"/>
      <c r="H29" s="231">
        <f>SUM(H30:H31)</f>
        <v>89842221</v>
      </c>
      <c r="I29" s="232"/>
      <c r="J29" s="231"/>
      <c r="K29" s="231"/>
      <c r="L29" s="230">
        <f>F29-H29</f>
        <v>34473800</v>
      </c>
      <c r="M29" s="261"/>
    </row>
    <row r="30" spans="1:13" s="263" customFormat="1" ht="15" customHeight="1" x14ac:dyDescent="0.35">
      <c r="A30" s="241" t="s">
        <v>290</v>
      </c>
      <c r="B30" s="242"/>
      <c r="C30" s="243" t="s">
        <v>291</v>
      </c>
      <c r="D30" s="217">
        <v>2496600</v>
      </c>
      <c r="E30" s="217">
        <v>0</v>
      </c>
      <c r="F30" s="217">
        <f t="shared" ref="F30:F31" si="11">D30+E30</f>
        <v>2496600</v>
      </c>
      <c r="G30" s="220">
        <f t="shared" ref="G30:G31" si="12">F30/$F$79*100</f>
        <v>2.2308364825180269E-2</v>
      </c>
      <c r="H30" s="352">
        <v>1812600</v>
      </c>
      <c r="I30" s="220">
        <f t="shared" ref="I30:I31" si="13">H30/F30*100</f>
        <v>72.602739726027394</v>
      </c>
      <c r="J30" s="221">
        <f t="shared" ref="J30:J31" si="14">I30</f>
        <v>72.602739726027394</v>
      </c>
      <c r="K30" s="222">
        <f>J30*G30/100</f>
        <v>1.6196484051158276E-2</v>
      </c>
      <c r="L30" s="223">
        <f>F30-H30</f>
        <v>684000</v>
      </c>
      <c r="M30" s="244"/>
    </row>
    <row r="31" spans="1:13" s="263" customFormat="1" ht="15" customHeight="1" x14ac:dyDescent="0.35">
      <c r="A31" s="241" t="s">
        <v>245</v>
      </c>
      <c r="B31" s="242"/>
      <c r="C31" s="243" t="s">
        <v>202</v>
      </c>
      <c r="D31" s="217">
        <f>55651440+66167981</f>
        <v>121819421</v>
      </c>
      <c r="E31" s="217">
        <v>0</v>
      </c>
      <c r="F31" s="217">
        <f t="shared" si="11"/>
        <v>121819421</v>
      </c>
      <c r="G31" s="220">
        <f t="shared" si="12"/>
        <v>1.0885172180005713</v>
      </c>
      <c r="H31" s="352">
        <v>88029621</v>
      </c>
      <c r="I31" s="220">
        <f t="shared" si="13"/>
        <v>72.262386635378945</v>
      </c>
      <c r="J31" s="221">
        <f t="shared" si="14"/>
        <v>72.262386635378945</v>
      </c>
      <c r="K31" s="222">
        <f>J31*G31/100</f>
        <v>0.78658852066424356</v>
      </c>
      <c r="L31" s="223">
        <f>F31-H31</f>
        <v>33789800</v>
      </c>
      <c r="M31" s="244"/>
    </row>
    <row r="32" spans="1:13" s="263" customFormat="1" ht="15" customHeight="1" x14ac:dyDescent="0.35">
      <c r="A32" s="241"/>
      <c r="B32" s="262"/>
      <c r="C32" s="243"/>
      <c r="D32" s="217"/>
      <c r="E32" s="217"/>
      <c r="F32" s="218"/>
      <c r="G32" s="220"/>
      <c r="H32" s="219"/>
      <c r="I32" s="220"/>
      <c r="J32" s="221"/>
      <c r="K32" s="222"/>
      <c r="L32" s="223"/>
      <c r="M32" s="244"/>
    </row>
    <row r="33" spans="1:13" s="263" customFormat="1" ht="15" customHeight="1" x14ac:dyDescent="0.35">
      <c r="A33" s="258" t="s">
        <v>246</v>
      </c>
      <c r="B33" s="259"/>
      <c r="C33" s="235" t="s">
        <v>203</v>
      </c>
      <c r="D33" s="229">
        <f>SUM(D34:D36)</f>
        <v>163947400</v>
      </c>
      <c r="E33" s="229"/>
      <c r="F33" s="229">
        <f>SUM(F34:F36)</f>
        <v>163947400</v>
      </c>
      <c r="G33" s="230"/>
      <c r="H33" s="231">
        <f>SUM(H34:H36)</f>
        <v>120289620</v>
      </c>
      <c r="I33" s="232"/>
      <c r="J33" s="231"/>
      <c r="K33" s="231"/>
      <c r="L33" s="230">
        <f>F33-H33</f>
        <v>43657780</v>
      </c>
      <c r="M33" s="261"/>
    </row>
    <row r="34" spans="1:13" s="263" customFormat="1" ht="15" customHeight="1" x14ac:dyDescent="0.35">
      <c r="A34" s="241" t="s">
        <v>247</v>
      </c>
      <c r="B34" s="242"/>
      <c r="C34" s="243" t="s">
        <v>311</v>
      </c>
      <c r="D34" s="217">
        <v>8210000</v>
      </c>
      <c r="E34" s="217">
        <v>0</v>
      </c>
      <c r="F34" s="217">
        <f>D34+E34</f>
        <v>8210000</v>
      </c>
      <c r="G34" s="220">
        <f t="shared" ref="G34:G36" si="15">F34/$F$79*100</f>
        <v>7.3360440284679168E-2</v>
      </c>
      <c r="H34" s="219">
        <v>5630000</v>
      </c>
      <c r="I34" s="220">
        <f t="shared" ref="I34:I36" si="16">H34/F34*100</f>
        <v>68.574908647990256</v>
      </c>
      <c r="J34" s="221">
        <f t="shared" ref="J34" si="17">I34</f>
        <v>68.574908647990256</v>
      </c>
      <c r="K34" s="222">
        <f>J34*G34/100</f>
        <v>5.0306854908982179E-2</v>
      </c>
      <c r="L34" s="223">
        <f t="shared" ref="L34:L36" si="18">F34-H34</f>
        <v>2580000</v>
      </c>
      <c r="M34" s="244"/>
    </row>
    <row r="35" spans="1:13" s="263" customFormat="1" ht="30" customHeight="1" x14ac:dyDescent="0.35">
      <c r="A35" s="241" t="s">
        <v>247</v>
      </c>
      <c r="B35" s="242"/>
      <c r="C35" s="243" t="s">
        <v>308</v>
      </c>
      <c r="D35" s="217">
        <v>137843600</v>
      </c>
      <c r="E35" s="217">
        <v>0</v>
      </c>
      <c r="F35" s="217">
        <f>D35+E35</f>
        <v>137843600</v>
      </c>
      <c r="G35" s="220">
        <f t="shared" si="15"/>
        <v>1.2317012407338856</v>
      </c>
      <c r="H35" s="219">
        <v>96876200</v>
      </c>
      <c r="I35" s="220">
        <f t="shared" si="16"/>
        <v>70.279795362280154</v>
      </c>
      <c r="J35" s="221">
        <f t="shared" ref="J35:J36" si="19">I35</f>
        <v>70.279795362280154</v>
      </c>
      <c r="K35" s="222">
        <f>J35*G35/100</f>
        <v>0.86563711146244049</v>
      </c>
      <c r="L35" s="223">
        <f t="shared" si="18"/>
        <v>40967400</v>
      </c>
      <c r="M35" s="244"/>
    </row>
    <row r="36" spans="1:13" s="263" customFormat="1" ht="30" customHeight="1" x14ac:dyDescent="0.35">
      <c r="A36" s="241" t="s">
        <v>248</v>
      </c>
      <c r="B36" s="242"/>
      <c r="C36" s="243" t="s">
        <v>285</v>
      </c>
      <c r="D36" s="217">
        <f>1220000+16673800</f>
        <v>17893800</v>
      </c>
      <c r="E36" s="217">
        <v>0</v>
      </c>
      <c r="F36" s="217">
        <f>D36+E36</f>
        <v>17893800</v>
      </c>
      <c r="G36" s="220">
        <f t="shared" si="15"/>
        <v>0.15989001782777004</v>
      </c>
      <c r="H36" s="219">
        <v>17783420</v>
      </c>
      <c r="I36" s="220">
        <f t="shared" si="16"/>
        <v>99.383138293710672</v>
      </c>
      <c r="J36" s="221">
        <f t="shared" si="19"/>
        <v>99.383138293710672</v>
      </c>
      <c r="K36" s="222">
        <f>J36*G36/100</f>
        <v>0.15890371753561136</v>
      </c>
      <c r="L36" s="223">
        <f t="shared" si="18"/>
        <v>110380</v>
      </c>
      <c r="M36" s="244"/>
    </row>
    <row r="37" spans="1:13" s="263" customFormat="1" ht="30" customHeight="1" x14ac:dyDescent="0.35">
      <c r="A37" s="255" t="s">
        <v>263</v>
      </c>
      <c r="B37" s="256"/>
      <c r="C37" s="234" t="s">
        <v>264</v>
      </c>
      <c r="D37" s="225">
        <f>SUM(D38,D42)</f>
        <v>471540000</v>
      </c>
      <c r="E37" s="225"/>
      <c r="F37" s="225">
        <f>SUM(F38,F42)</f>
        <v>471540000</v>
      </c>
      <c r="G37" s="226"/>
      <c r="H37" s="227">
        <f>H38+H42</f>
        <v>361060000</v>
      </c>
      <c r="I37" s="228"/>
      <c r="J37" s="227"/>
      <c r="K37" s="227"/>
      <c r="L37" s="226">
        <f>F37-H37</f>
        <v>110480000</v>
      </c>
      <c r="M37" s="257"/>
    </row>
    <row r="38" spans="1:13" s="263" customFormat="1" ht="30" customHeight="1" x14ac:dyDescent="0.35">
      <c r="A38" s="258" t="s">
        <v>258</v>
      </c>
      <c r="B38" s="259"/>
      <c r="C38" s="235" t="s">
        <v>205</v>
      </c>
      <c r="D38" s="229">
        <f>SUM(D39,D40)</f>
        <v>303720000</v>
      </c>
      <c r="E38" s="229"/>
      <c r="F38" s="229">
        <f>SUM(F39,F40)</f>
        <v>303720000</v>
      </c>
      <c r="G38" s="230"/>
      <c r="H38" s="231">
        <f>SUM(H39:H40)</f>
        <v>215030000</v>
      </c>
      <c r="I38" s="232"/>
      <c r="J38" s="231"/>
      <c r="K38" s="231"/>
      <c r="L38" s="230">
        <f>F38-H38</f>
        <v>88690000</v>
      </c>
      <c r="M38" s="260"/>
    </row>
    <row r="39" spans="1:13" s="263" customFormat="1" ht="30" customHeight="1" x14ac:dyDescent="0.35">
      <c r="A39" s="241" t="s">
        <v>274</v>
      </c>
      <c r="B39" s="262"/>
      <c r="C39" s="236" t="s">
        <v>206</v>
      </c>
      <c r="D39" s="217">
        <v>207120000</v>
      </c>
      <c r="E39" s="217">
        <v>0</v>
      </c>
      <c r="F39" s="217">
        <f>D39+E39</f>
        <v>207120000</v>
      </c>
      <c r="G39" s="220">
        <f t="shared" ref="G39:G40" si="20">F39/$F$79*100</f>
        <v>1.8507203887652555</v>
      </c>
      <c r="H39" s="352">
        <v>146030000</v>
      </c>
      <c r="I39" s="220">
        <f t="shared" ref="I39:I40" si="21">H39/F39*100</f>
        <v>70.505021243723448</v>
      </c>
      <c r="J39" s="221">
        <f t="shared" ref="J39:J40" si="22">I39</f>
        <v>70.505021243723448</v>
      </c>
      <c r="K39" s="222">
        <f>J39*G39/100</f>
        <v>1.3048508032608646</v>
      </c>
      <c r="L39" s="223">
        <f t="shared" ref="L39:L40" si="23">F39-H39</f>
        <v>61090000</v>
      </c>
      <c r="M39" s="244"/>
    </row>
    <row r="40" spans="1:13" s="263" customFormat="1" ht="30" customHeight="1" x14ac:dyDescent="0.35">
      <c r="A40" s="241" t="s">
        <v>274</v>
      </c>
      <c r="B40" s="262"/>
      <c r="C40" s="236" t="s">
        <v>310</v>
      </c>
      <c r="D40" s="217">
        <v>96600000</v>
      </c>
      <c r="E40" s="217">
        <v>0</v>
      </c>
      <c r="F40" s="217">
        <f>D40+E40</f>
        <v>96600000</v>
      </c>
      <c r="G40" s="220">
        <f t="shared" si="20"/>
        <v>0.86316912685749181</v>
      </c>
      <c r="H40" s="352">
        <v>69000000</v>
      </c>
      <c r="I40" s="220">
        <f t="shared" si="21"/>
        <v>71.428571428571431</v>
      </c>
      <c r="J40" s="221">
        <f t="shared" si="22"/>
        <v>71.428571428571431</v>
      </c>
      <c r="K40" s="222">
        <f>J40*G40/100</f>
        <v>0.61654937632677986</v>
      </c>
      <c r="L40" s="223">
        <f t="shared" si="23"/>
        <v>27600000</v>
      </c>
      <c r="M40" s="244"/>
    </row>
    <row r="41" spans="1:13" s="263" customFormat="1" ht="15" customHeight="1" x14ac:dyDescent="0.35">
      <c r="A41" s="241"/>
      <c r="B41" s="262"/>
      <c r="C41" s="236"/>
      <c r="D41" s="217"/>
      <c r="E41" s="217"/>
      <c r="F41" s="218"/>
      <c r="G41" s="220"/>
      <c r="H41" s="219"/>
      <c r="I41" s="220"/>
      <c r="J41" s="221"/>
      <c r="K41" s="222"/>
      <c r="L41" s="223"/>
      <c r="M41" s="244"/>
    </row>
    <row r="42" spans="1:13" s="263" customFormat="1" ht="30" customHeight="1" x14ac:dyDescent="0.35">
      <c r="A42" s="258" t="s">
        <v>259</v>
      </c>
      <c r="B42" s="259"/>
      <c r="C42" s="235" t="s">
        <v>207</v>
      </c>
      <c r="D42" s="229">
        <f>SUM(D43:D43)</f>
        <v>167820000</v>
      </c>
      <c r="E42" s="229"/>
      <c r="F42" s="229">
        <f>SUM(F43:F43)</f>
        <v>167820000</v>
      </c>
      <c r="G42" s="230"/>
      <c r="H42" s="231">
        <f>H43</f>
        <v>146030000</v>
      </c>
      <c r="I42" s="232"/>
      <c r="J42" s="231"/>
      <c r="K42" s="231"/>
      <c r="L42" s="230">
        <f>F42-H42</f>
        <v>21790000</v>
      </c>
      <c r="M42" s="260"/>
    </row>
    <row r="43" spans="1:13" s="263" customFormat="1" ht="30" customHeight="1" x14ac:dyDescent="0.35">
      <c r="A43" s="241" t="s">
        <v>260</v>
      </c>
      <c r="B43" s="262"/>
      <c r="C43" s="236" t="s">
        <v>208</v>
      </c>
      <c r="D43" s="217">
        <v>167820000</v>
      </c>
      <c r="E43" s="217">
        <v>0</v>
      </c>
      <c r="F43" s="217">
        <f>D43+E43</f>
        <v>167820000</v>
      </c>
      <c r="G43" s="220">
        <f>F43/$F$79*100</f>
        <v>1.4995553092052203</v>
      </c>
      <c r="H43" s="352">
        <v>146030000</v>
      </c>
      <c r="I43" s="220">
        <f>H43/F43*100</f>
        <v>87.015850315814561</v>
      </c>
      <c r="J43" s="221">
        <f t="shared" ref="J43" si="24">I43</f>
        <v>87.015850315814561</v>
      </c>
      <c r="K43" s="222">
        <f>J43*G43/100</f>
        <v>1.3048508032608646</v>
      </c>
      <c r="L43" s="223">
        <f>F43-H43</f>
        <v>21790000</v>
      </c>
      <c r="M43" s="244"/>
    </row>
    <row r="44" spans="1:13" s="263" customFormat="1" ht="15" customHeight="1" x14ac:dyDescent="0.35">
      <c r="A44" s="241"/>
      <c r="B44" s="262"/>
      <c r="C44" s="236"/>
      <c r="D44" s="217"/>
      <c r="E44" s="217"/>
      <c r="F44" s="218"/>
      <c r="G44" s="220"/>
      <c r="H44" s="219"/>
      <c r="I44" s="220"/>
      <c r="J44" s="221"/>
      <c r="K44" s="222"/>
      <c r="L44" s="223"/>
      <c r="M44" s="244"/>
    </row>
    <row r="45" spans="1:13" s="263" customFormat="1" ht="30" customHeight="1" x14ac:dyDescent="0.35">
      <c r="A45" s="255" t="s">
        <v>265</v>
      </c>
      <c r="B45" s="256"/>
      <c r="C45" s="234" t="s">
        <v>266</v>
      </c>
      <c r="D45" s="225">
        <f>SUM(D46,D50,D54)</f>
        <v>4154815674</v>
      </c>
      <c r="E45" s="225"/>
      <c r="F45" s="225">
        <f>SUM(F46,F50,F54)</f>
        <v>4154815674</v>
      </c>
      <c r="G45" s="226"/>
      <c r="H45" s="227">
        <f>H46+H50+H54</f>
        <v>1130630836</v>
      </c>
      <c r="I45" s="228"/>
      <c r="J45" s="227"/>
      <c r="K45" s="227"/>
      <c r="L45" s="226">
        <f>F45-H45</f>
        <v>3024184838</v>
      </c>
      <c r="M45" s="257"/>
    </row>
    <row r="46" spans="1:13" s="263" customFormat="1" ht="15" customHeight="1" x14ac:dyDescent="0.35">
      <c r="A46" s="258" t="s">
        <v>228</v>
      </c>
      <c r="B46" s="259"/>
      <c r="C46" s="235" t="s">
        <v>209</v>
      </c>
      <c r="D46" s="229">
        <f>SUM(D47:D48)</f>
        <v>222692500</v>
      </c>
      <c r="E46" s="229"/>
      <c r="F46" s="229">
        <f>SUM(F47:F48)</f>
        <v>222692500</v>
      </c>
      <c r="G46" s="230"/>
      <c r="H46" s="231">
        <f>SUM(H47:H48)</f>
        <v>174148000</v>
      </c>
      <c r="I46" s="232"/>
      <c r="J46" s="231"/>
      <c r="K46" s="231"/>
      <c r="L46" s="230">
        <f>F46-H46</f>
        <v>48544500</v>
      </c>
      <c r="M46" s="260"/>
    </row>
    <row r="47" spans="1:13" s="263" customFormat="1" ht="30" customHeight="1" x14ac:dyDescent="0.35">
      <c r="A47" s="241" t="s">
        <v>229</v>
      </c>
      <c r="B47" s="262"/>
      <c r="C47" s="236" t="s">
        <v>210</v>
      </c>
      <c r="D47" s="217">
        <f>19827000+71690000</f>
        <v>91517000</v>
      </c>
      <c r="E47" s="217">
        <v>0</v>
      </c>
      <c r="F47" s="217">
        <f>D47+E47</f>
        <v>91517000</v>
      </c>
      <c r="G47" s="220">
        <f t="shared" ref="G47:G48" si="25">F47/$F$79*100</f>
        <v>0.81774998946808564</v>
      </c>
      <c r="H47" s="352">
        <v>72824000</v>
      </c>
      <c r="I47" s="220">
        <f t="shared" ref="I47:I48" si="26">H47/F47*100</f>
        <v>79.574286744539265</v>
      </c>
      <c r="J47" s="221">
        <f t="shared" ref="J47:J48" si="27">I47</f>
        <v>79.574286744539265</v>
      </c>
      <c r="K47" s="222">
        <f>J47*G47/100</f>
        <v>0.65071872147277399</v>
      </c>
      <c r="L47" s="223">
        <f t="shared" ref="L47:L48" si="28">F47-H47</f>
        <v>18693000</v>
      </c>
      <c r="M47" s="244"/>
    </row>
    <row r="48" spans="1:13" s="263" customFormat="1" ht="30" customHeight="1" x14ac:dyDescent="0.35">
      <c r="A48" s="241" t="s">
        <v>230</v>
      </c>
      <c r="B48" s="262"/>
      <c r="C48" s="236" t="s">
        <v>211</v>
      </c>
      <c r="D48" s="217">
        <v>131175500</v>
      </c>
      <c r="E48" s="217">
        <v>0</v>
      </c>
      <c r="F48" s="217">
        <f>D48+E48</f>
        <v>131175500</v>
      </c>
      <c r="G48" s="220">
        <f t="shared" si="25"/>
        <v>1.172118445135558</v>
      </c>
      <c r="H48" s="352">
        <v>101324000</v>
      </c>
      <c r="I48" s="220">
        <f t="shared" si="26"/>
        <v>77.243082740298306</v>
      </c>
      <c r="J48" s="221">
        <f t="shared" si="27"/>
        <v>77.243082740298306</v>
      </c>
      <c r="K48" s="222">
        <f>J48*G48/100</f>
        <v>0.90538042039035704</v>
      </c>
      <c r="L48" s="223">
        <f t="shared" si="28"/>
        <v>29851500</v>
      </c>
      <c r="M48" s="244"/>
    </row>
    <row r="49" spans="1:13" s="263" customFormat="1" ht="15" customHeight="1" x14ac:dyDescent="0.35">
      <c r="A49" s="241"/>
      <c r="B49" s="262"/>
      <c r="C49" s="236"/>
      <c r="D49" s="217"/>
      <c r="E49" s="217"/>
      <c r="F49" s="217"/>
      <c r="G49" s="220"/>
      <c r="H49" s="219"/>
      <c r="I49" s="220"/>
      <c r="J49" s="221"/>
      <c r="K49" s="222"/>
      <c r="L49" s="223"/>
      <c r="M49" s="244"/>
    </row>
    <row r="50" spans="1:13" s="263" customFormat="1" ht="15" customHeight="1" x14ac:dyDescent="0.35">
      <c r="A50" s="258" t="s">
        <v>275</v>
      </c>
      <c r="B50" s="259"/>
      <c r="C50" s="235" t="s">
        <v>276</v>
      </c>
      <c r="D50" s="229">
        <f>SUM(D51:D52)</f>
        <v>3695185994</v>
      </c>
      <c r="E50" s="229"/>
      <c r="F50" s="229">
        <f>SUM(F51:F52)</f>
        <v>3695185994</v>
      </c>
      <c r="G50" s="230"/>
      <c r="H50" s="231">
        <f>SUM(H51:H52)</f>
        <v>937532836</v>
      </c>
      <c r="I50" s="232"/>
      <c r="J50" s="231"/>
      <c r="K50" s="231"/>
      <c r="L50" s="230">
        <f>F50-H50</f>
        <v>2757653158</v>
      </c>
      <c r="M50" s="260"/>
    </row>
    <row r="51" spans="1:13" s="263" customFormat="1" ht="15" customHeight="1" x14ac:dyDescent="0.35">
      <c r="A51" s="241" t="s">
        <v>279</v>
      </c>
      <c r="B51" s="262"/>
      <c r="C51" s="236" t="s">
        <v>280</v>
      </c>
      <c r="D51" s="217">
        <v>3684259994</v>
      </c>
      <c r="E51" s="217">
        <v>0</v>
      </c>
      <c r="F51" s="217">
        <f>D51+E51</f>
        <v>3684259994</v>
      </c>
      <c r="G51" s="220">
        <f t="shared" ref="G51:G52" si="29">F51/$F$79*100</f>
        <v>32.920698572846455</v>
      </c>
      <c r="H51" s="352">
        <v>926972836</v>
      </c>
      <c r="I51" s="220">
        <f t="shared" ref="I51:I52" si="30">H51/F51*100</f>
        <v>25.160353436229286</v>
      </c>
      <c r="J51" s="221">
        <f t="shared" ref="J51:J52" si="31">I51</f>
        <v>25.160353436229286</v>
      </c>
      <c r="K51" s="222">
        <f>J51*G51/100</f>
        <v>8.2829641146038586</v>
      </c>
      <c r="L51" s="223">
        <f t="shared" ref="L51:L52" si="32">F51-H51</f>
        <v>2757287158</v>
      </c>
      <c r="M51" s="244"/>
    </row>
    <row r="52" spans="1:13" s="263" customFormat="1" ht="15" customHeight="1" x14ac:dyDescent="0.35">
      <c r="A52" s="241" t="s">
        <v>293</v>
      </c>
      <c r="B52" s="262"/>
      <c r="C52" s="236" t="s">
        <v>294</v>
      </c>
      <c r="D52" s="217">
        <v>10926000</v>
      </c>
      <c r="E52" s="217">
        <v>0</v>
      </c>
      <c r="F52" s="217">
        <f>D52+E52</f>
        <v>10926000</v>
      </c>
      <c r="G52" s="220">
        <f t="shared" si="29"/>
        <v>9.762925341661445E-2</v>
      </c>
      <c r="H52" s="219">
        <v>10560000</v>
      </c>
      <c r="I52" s="220">
        <f t="shared" si="30"/>
        <v>96.650192202086771</v>
      </c>
      <c r="J52" s="221">
        <f t="shared" si="31"/>
        <v>96.650192202086771</v>
      </c>
      <c r="K52" s="222">
        <f>J52*G52/100</f>
        <v>9.4358861072620231E-2</v>
      </c>
      <c r="L52" s="223">
        <f t="shared" si="32"/>
        <v>366000</v>
      </c>
      <c r="M52" s="244"/>
    </row>
    <row r="53" spans="1:13" s="263" customFormat="1" ht="15" customHeight="1" x14ac:dyDescent="0.35">
      <c r="A53" s="241"/>
      <c r="B53" s="262"/>
      <c r="C53" s="236"/>
      <c r="D53" s="217"/>
      <c r="E53" s="217"/>
      <c r="F53" s="217"/>
      <c r="G53" s="220"/>
      <c r="H53" s="219"/>
      <c r="I53" s="220"/>
      <c r="J53" s="221"/>
      <c r="K53" s="222"/>
      <c r="L53" s="223"/>
      <c r="M53" s="244"/>
    </row>
    <row r="54" spans="1:13" s="263" customFormat="1" ht="30" customHeight="1" x14ac:dyDescent="0.35">
      <c r="A54" s="258" t="s">
        <v>322</v>
      </c>
      <c r="B54" s="259"/>
      <c r="C54" s="235" t="s">
        <v>323</v>
      </c>
      <c r="D54" s="229">
        <f>SUM(D55:D56)</f>
        <v>236937180</v>
      </c>
      <c r="E54" s="229">
        <f>SUM(E55:E56)</f>
        <v>0</v>
      </c>
      <c r="F54" s="229">
        <f>SUM(F55:F56)</f>
        <v>236937180</v>
      </c>
      <c r="G54" s="230"/>
      <c r="H54" s="231">
        <f>SUM(H55:H56)</f>
        <v>18950000</v>
      </c>
      <c r="I54" s="232"/>
      <c r="J54" s="231"/>
      <c r="K54" s="231"/>
      <c r="L54" s="230">
        <f>F54-H54</f>
        <v>217987180</v>
      </c>
      <c r="M54" s="260"/>
    </row>
    <row r="55" spans="1:13" s="263" customFormat="1" ht="30" customHeight="1" x14ac:dyDescent="0.35">
      <c r="A55" s="241" t="s">
        <v>324</v>
      </c>
      <c r="B55" s="262"/>
      <c r="C55" s="236" t="s">
        <v>326</v>
      </c>
      <c r="D55" s="217">
        <v>16950000</v>
      </c>
      <c r="E55" s="217">
        <v>0</v>
      </c>
      <c r="F55" s="217">
        <f t="shared" ref="F55:F56" si="33">D55+E55</f>
        <v>16950000</v>
      </c>
      <c r="G55" s="220">
        <f>F55/$F$79*100</f>
        <v>0.15145669461940461</v>
      </c>
      <c r="H55" s="219">
        <v>6750000</v>
      </c>
      <c r="I55" s="220">
        <f t="shared" ref="I55:I56" si="34">H55/F55*100</f>
        <v>39.823008849557525</v>
      </c>
      <c r="J55" s="221">
        <f t="shared" ref="J55:J56" si="35">I55</f>
        <v>39.823008849557525</v>
      </c>
      <c r="K55" s="222">
        <f>J55*G55/100</f>
        <v>6.031461290153281E-2</v>
      </c>
      <c r="L55" s="223">
        <f t="shared" ref="L55:L56" si="36">F55-H55</f>
        <v>10200000</v>
      </c>
      <c r="M55" s="244"/>
    </row>
    <row r="56" spans="1:13" s="263" customFormat="1" ht="45" customHeight="1" x14ac:dyDescent="0.35">
      <c r="A56" s="241" t="s">
        <v>325</v>
      </c>
      <c r="B56" s="262"/>
      <c r="C56" s="236" t="s">
        <v>327</v>
      </c>
      <c r="D56" s="217">
        <v>219987180</v>
      </c>
      <c r="E56" s="217">
        <v>0</v>
      </c>
      <c r="F56" s="217">
        <f t="shared" si="33"/>
        <v>219987180</v>
      </c>
      <c r="G56" s="220">
        <f>F56/$F$79*100</f>
        <v>1.9656950525925661</v>
      </c>
      <c r="H56" s="219">
        <v>12200000</v>
      </c>
      <c r="I56" s="220">
        <f t="shared" si="34"/>
        <v>5.5457777130467329</v>
      </c>
      <c r="J56" s="221">
        <f t="shared" si="35"/>
        <v>5.5457777130467329</v>
      </c>
      <c r="K56" s="222">
        <f>J56*G56/100</f>
        <v>0.10901307813314079</v>
      </c>
      <c r="L56" s="223">
        <f t="shared" si="36"/>
        <v>207787180</v>
      </c>
      <c r="M56" s="244"/>
    </row>
    <row r="57" spans="1:13" s="263" customFormat="1" ht="15" customHeight="1" x14ac:dyDescent="0.35">
      <c r="A57" s="241"/>
      <c r="B57" s="262"/>
      <c r="C57" s="236"/>
      <c r="D57" s="217"/>
      <c r="E57" s="217"/>
      <c r="F57" s="218"/>
      <c r="G57" s="220"/>
      <c r="H57" s="219"/>
      <c r="I57" s="220"/>
      <c r="J57" s="221"/>
      <c r="K57" s="222"/>
      <c r="L57" s="223"/>
      <c r="M57" s="244"/>
    </row>
    <row r="58" spans="1:13" s="263" customFormat="1" ht="30" customHeight="1" x14ac:dyDescent="0.35">
      <c r="A58" s="255" t="s">
        <v>267</v>
      </c>
      <c r="B58" s="256"/>
      <c r="C58" s="234" t="s">
        <v>268</v>
      </c>
      <c r="D58" s="225">
        <f>SUM(D59,D62,)</f>
        <v>297460000</v>
      </c>
      <c r="E58" s="225"/>
      <c r="F58" s="225">
        <f>SUM(F59,F62,)</f>
        <v>297460000</v>
      </c>
      <c r="G58" s="226"/>
      <c r="H58" s="227">
        <f>H59+H62</f>
        <v>210318000</v>
      </c>
      <c r="I58" s="228"/>
      <c r="J58" s="227"/>
      <c r="K58" s="227"/>
      <c r="L58" s="226">
        <f t="shared" ref="L58:L63" si="37">F58-H58</f>
        <v>87142000</v>
      </c>
      <c r="M58" s="257"/>
    </row>
    <row r="59" spans="1:13" s="263" customFormat="1" ht="30" customHeight="1" x14ac:dyDescent="0.35">
      <c r="A59" s="258" t="s">
        <v>250</v>
      </c>
      <c r="B59" s="259"/>
      <c r="C59" s="235" t="s">
        <v>212</v>
      </c>
      <c r="D59" s="229">
        <f>SUM(D60:D61)</f>
        <v>23860000</v>
      </c>
      <c r="E59" s="229"/>
      <c r="F59" s="229">
        <f>SUM(F60:F61)</f>
        <v>23860000</v>
      </c>
      <c r="G59" s="230"/>
      <c r="H59" s="231">
        <f>SUM(H60:H61)</f>
        <v>19828000</v>
      </c>
      <c r="I59" s="232"/>
      <c r="J59" s="231"/>
      <c r="K59" s="231"/>
      <c r="L59" s="230">
        <f t="shared" si="37"/>
        <v>4032000</v>
      </c>
      <c r="M59" s="260"/>
    </row>
    <row r="60" spans="1:13" s="263" customFormat="1" ht="45" customHeight="1" x14ac:dyDescent="0.35">
      <c r="A60" s="241" t="s">
        <v>252</v>
      </c>
      <c r="B60" s="262"/>
      <c r="C60" s="236" t="s">
        <v>286</v>
      </c>
      <c r="D60" s="217">
        <v>12660000</v>
      </c>
      <c r="E60" s="217">
        <v>0</v>
      </c>
      <c r="F60" s="217">
        <f>D60+E60</f>
        <v>12660000</v>
      </c>
      <c r="G60" s="220">
        <f>F60/$F$79*100</f>
        <v>0.11312340730865264</v>
      </c>
      <c r="H60" s="219">
        <v>8628000</v>
      </c>
      <c r="I60" s="220">
        <f>H60/F60*100</f>
        <v>68.151658767772517</v>
      </c>
      <c r="J60" s="221">
        <f t="shared" ref="J60:J61" si="38">I60</f>
        <v>68.151658767772517</v>
      </c>
      <c r="K60" s="222">
        <f>J60*G60/100</f>
        <v>7.7095478535470385E-2</v>
      </c>
      <c r="L60" s="223">
        <f t="shared" si="37"/>
        <v>4032000</v>
      </c>
      <c r="M60" s="244"/>
    </row>
    <row r="61" spans="1:13" s="263" customFormat="1" ht="30" customHeight="1" x14ac:dyDescent="0.35">
      <c r="A61" s="241" t="s">
        <v>328</v>
      </c>
      <c r="B61" s="262"/>
      <c r="C61" s="236" t="s">
        <v>213</v>
      </c>
      <c r="D61" s="217">
        <v>11200000</v>
      </c>
      <c r="E61" s="217">
        <v>0</v>
      </c>
      <c r="F61" s="217">
        <f t="shared" ref="F61" si="39">D61</f>
        <v>11200000</v>
      </c>
      <c r="G61" s="220">
        <f>F61/$F$79*100</f>
        <v>0.1000775799255063</v>
      </c>
      <c r="H61" s="219">
        <v>11200000</v>
      </c>
      <c r="I61" s="220">
        <f>H61/F61*100</f>
        <v>100</v>
      </c>
      <c r="J61" s="221">
        <f t="shared" si="38"/>
        <v>100</v>
      </c>
      <c r="K61" s="222">
        <f>J61*G61/100</f>
        <v>0.1000775799255063</v>
      </c>
      <c r="L61" s="223">
        <f t="shared" si="37"/>
        <v>0</v>
      </c>
      <c r="M61" s="244"/>
    </row>
    <row r="62" spans="1:13" s="263" customFormat="1" ht="45" customHeight="1" x14ac:dyDescent="0.35">
      <c r="A62" s="258" t="s">
        <v>251</v>
      </c>
      <c r="B62" s="259"/>
      <c r="C62" s="235" t="s">
        <v>214</v>
      </c>
      <c r="D62" s="229">
        <f>SUM(D63)</f>
        <v>273600000</v>
      </c>
      <c r="E62" s="229"/>
      <c r="F62" s="229">
        <f>SUM(F63)</f>
        <v>273600000</v>
      </c>
      <c r="G62" s="230"/>
      <c r="H62" s="231">
        <f>H63</f>
        <v>190490000</v>
      </c>
      <c r="I62" s="232"/>
      <c r="J62" s="231"/>
      <c r="K62" s="231"/>
      <c r="L62" s="230">
        <f t="shared" si="37"/>
        <v>83110000</v>
      </c>
      <c r="M62" s="260"/>
    </row>
    <row r="63" spans="1:13" s="263" customFormat="1" ht="45" customHeight="1" x14ac:dyDescent="0.35">
      <c r="A63" s="241" t="s">
        <v>249</v>
      </c>
      <c r="B63" s="262"/>
      <c r="C63" s="236" t="s">
        <v>215</v>
      </c>
      <c r="D63" s="217">
        <v>273600000</v>
      </c>
      <c r="E63" s="217">
        <v>0</v>
      </c>
      <c r="F63" s="217">
        <f>D63+E63</f>
        <v>273600000</v>
      </c>
      <c r="G63" s="220">
        <f>F63/$F$79*100</f>
        <v>2.4447523096087966</v>
      </c>
      <c r="H63" s="352">
        <v>190490000</v>
      </c>
      <c r="I63" s="220">
        <f>H63/F63*100</f>
        <v>69.623538011695913</v>
      </c>
      <c r="J63" s="221">
        <f t="shared" ref="J63" si="40">I63</f>
        <v>69.623538011695913</v>
      </c>
      <c r="K63" s="222">
        <f>J63*G63/100</f>
        <v>1.7021230535722944</v>
      </c>
      <c r="L63" s="223">
        <f t="shared" si="37"/>
        <v>83110000</v>
      </c>
      <c r="M63" s="244"/>
    </row>
    <row r="64" spans="1:13" s="263" customFormat="1" ht="15" customHeight="1" x14ac:dyDescent="0.35">
      <c r="A64" s="241"/>
      <c r="B64" s="262"/>
      <c r="C64" s="236"/>
      <c r="D64" s="217"/>
      <c r="E64" s="217"/>
      <c r="F64" s="218"/>
      <c r="G64" s="220"/>
      <c r="H64" s="219"/>
      <c r="I64" s="220"/>
      <c r="J64" s="221"/>
      <c r="K64" s="222"/>
      <c r="L64" s="223"/>
      <c r="M64" s="244"/>
    </row>
    <row r="65" spans="1:13" s="263" customFormat="1" ht="30" customHeight="1" x14ac:dyDescent="0.35">
      <c r="A65" s="255" t="s">
        <v>269</v>
      </c>
      <c r="B65" s="256"/>
      <c r="C65" s="234" t="s">
        <v>270</v>
      </c>
      <c r="D65" s="225">
        <f>SUM(D66)</f>
        <v>53410000</v>
      </c>
      <c r="E65" s="225"/>
      <c r="F65" s="225">
        <f>SUM(F66:F66)</f>
        <v>53410000</v>
      </c>
      <c r="G65" s="226"/>
      <c r="H65" s="227">
        <f>H66</f>
        <v>25470000</v>
      </c>
      <c r="I65" s="228"/>
      <c r="J65" s="227"/>
      <c r="K65" s="227"/>
      <c r="L65" s="226">
        <f>F65-H65</f>
        <v>27940000</v>
      </c>
      <c r="M65" s="257"/>
    </row>
    <row r="66" spans="1:13" s="263" customFormat="1" ht="30" customHeight="1" x14ac:dyDescent="0.35">
      <c r="A66" s="258" t="s">
        <v>254</v>
      </c>
      <c r="B66" s="259"/>
      <c r="C66" s="235" t="s">
        <v>253</v>
      </c>
      <c r="D66" s="229">
        <f>SUM(D67:D69)</f>
        <v>53410000</v>
      </c>
      <c r="E66" s="229"/>
      <c r="F66" s="229">
        <f>SUM(F67:F69)</f>
        <v>53410000</v>
      </c>
      <c r="G66" s="230"/>
      <c r="H66" s="231">
        <f>SUM(H67:H69)</f>
        <v>25470000</v>
      </c>
      <c r="I66" s="232"/>
      <c r="J66" s="231"/>
      <c r="K66" s="231"/>
      <c r="L66" s="230">
        <f>F66-H66</f>
        <v>27940000</v>
      </c>
      <c r="M66" s="260"/>
    </row>
    <row r="67" spans="1:13" s="263" customFormat="1" ht="81" customHeight="1" x14ac:dyDescent="0.35">
      <c r="A67" s="241" t="s">
        <v>255</v>
      </c>
      <c r="B67" s="262"/>
      <c r="C67" s="236" t="s">
        <v>216</v>
      </c>
      <c r="D67" s="217">
        <v>22610000</v>
      </c>
      <c r="E67" s="217">
        <v>0</v>
      </c>
      <c r="F67" s="217">
        <f>D67+E67</f>
        <v>22610000</v>
      </c>
      <c r="G67" s="220">
        <f>F67/$F$79*100</f>
        <v>0.20203161447461584</v>
      </c>
      <c r="H67" s="219">
        <v>21870000</v>
      </c>
      <c r="I67" s="220">
        <f t="shared" ref="I67:I69" si="41">H67/F67*100</f>
        <v>96.727111897390543</v>
      </c>
      <c r="J67" s="221">
        <f t="shared" ref="J67:J69" si="42">I67</f>
        <v>96.727111897390543</v>
      </c>
      <c r="K67" s="222">
        <f>J67*G67/100</f>
        <v>0.19541934580096634</v>
      </c>
      <c r="L67" s="223">
        <f t="shared" ref="L67:L69" si="43">F67-H67</f>
        <v>740000</v>
      </c>
      <c r="M67" s="244"/>
    </row>
    <row r="68" spans="1:13" s="263" customFormat="1" ht="45" customHeight="1" x14ac:dyDescent="0.35">
      <c r="A68" s="241" t="s">
        <v>256</v>
      </c>
      <c r="B68" s="262"/>
      <c r="C68" s="236" t="s">
        <v>217</v>
      </c>
      <c r="D68" s="217">
        <v>16740000</v>
      </c>
      <c r="E68" s="217">
        <v>0</v>
      </c>
      <c r="F68" s="217">
        <f t="shared" ref="F68:F69" si="44">D68+E68</f>
        <v>16740000</v>
      </c>
      <c r="G68" s="220">
        <f t="shared" ref="G68:G69" si="45">F68/$F$79*100</f>
        <v>0.14958023999580139</v>
      </c>
      <c r="H68" s="219">
        <v>0</v>
      </c>
      <c r="I68" s="220">
        <f t="shared" si="41"/>
        <v>0</v>
      </c>
      <c r="J68" s="221">
        <f t="shared" si="42"/>
        <v>0</v>
      </c>
      <c r="K68" s="222">
        <f>J68*G68/100</f>
        <v>0</v>
      </c>
      <c r="L68" s="223">
        <f t="shared" si="43"/>
        <v>16740000</v>
      </c>
      <c r="M68" s="244"/>
    </row>
    <row r="69" spans="1:13" s="263" customFormat="1" ht="45" customHeight="1" x14ac:dyDescent="0.35">
      <c r="A69" s="241" t="s">
        <v>257</v>
      </c>
      <c r="B69" s="262"/>
      <c r="C69" s="236" t="s">
        <v>218</v>
      </c>
      <c r="D69" s="217">
        <v>14060000</v>
      </c>
      <c r="E69" s="217">
        <v>0</v>
      </c>
      <c r="F69" s="217">
        <f t="shared" si="44"/>
        <v>14060000</v>
      </c>
      <c r="G69" s="220">
        <f t="shared" si="45"/>
        <v>0.12563310479934095</v>
      </c>
      <c r="H69" s="219">
        <v>3600000</v>
      </c>
      <c r="I69" s="220">
        <f t="shared" si="41"/>
        <v>25.604551920341397</v>
      </c>
      <c r="J69" s="221">
        <f t="shared" si="42"/>
        <v>25.604551920341397</v>
      </c>
      <c r="K69" s="222">
        <f>J69*G69/100</f>
        <v>3.2167793547484169E-2</v>
      </c>
      <c r="L69" s="223">
        <f t="shared" si="43"/>
        <v>10460000</v>
      </c>
      <c r="M69" s="244"/>
    </row>
    <row r="70" spans="1:13" s="263" customFormat="1" ht="15" customHeight="1" x14ac:dyDescent="0.35">
      <c r="A70" s="241"/>
      <c r="B70" s="262"/>
      <c r="C70" s="236"/>
      <c r="D70" s="217"/>
      <c r="E70" s="217"/>
      <c r="F70" s="218"/>
      <c r="G70" s="220"/>
      <c r="H70" s="219"/>
      <c r="I70" s="220"/>
      <c r="J70" s="221"/>
      <c r="K70" s="222"/>
      <c r="L70" s="223"/>
      <c r="M70" s="244"/>
    </row>
    <row r="71" spans="1:13" s="263" customFormat="1" ht="30" customHeight="1" x14ac:dyDescent="0.35">
      <c r="A71" s="255" t="s">
        <v>271</v>
      </c>
      <c r="B71" s="256"/>
      <c r="C71" s="234" t="s">
        <v>272</v>
      </c>
      <c r="D71" s="225">
        <f>SUM(D72:D72)</f>
        <v>218785400</v>
      </c>
      <c r="E71" s="225"/>
      <c r="F71" s="225">
        <f>SUM(F72:F72)</f>
        <v>218785400</v>
      </c>
      <c r="G71" s="226"/>
      <c r="H71" s="225">
        <f>SUM(H72:H72)</f>
        <v>175291785</v>
      </c>
      <c r="I71" s="228"/>
      <c r="J71" s="227"/>
      <c r="K71" s="227"/>
      <c r="L71" s="226">
        <f>F71-H71</f>
        <v>43493615</v>
      </c>
      <c r="M71" s="257"/>
    </row>
    <row r="72" spans="1:13" s="263" customFormat="1" ht="45" customHeight="1" x14ac:dyDescent="0.35">
      <c r="A72" s="258" t="s">
        <v>223</v>
      </c>
      <c r="B72" s="259"/>
      <c r="C72" s="235" t="s">
        <v>219</v>
      </c>
      <c r="D72" s="229">
        <f>SUM(D73:D77)</f>
        <v>218785400</v>
      </c>
      <c r="E72" s="229"/>
      <c r="F72" s="229">
        <f>SUM(F73:F77)</f>
        <v>218785400</v>
      </c>
      <c r="G72" s="230"/>
      <c r="H72" s="229">
        <f>SUM(H73:H77)</f>
        <v>175291785</v>
      </c>
      <c r="I72" s="232"/>
      <c r="J72" s="231"/>
      <c r="K72" s="231"/>
      <c r="L72" s="230">
        <f>F72-H72</f>
        <v>43493615</v>
      </c>
      <c r="M72" s="260"/>
    </row>
    <row r="73" spans="1:13" s="263" customFormat="1" ht="30" customHeight="1" x14ac:dyDescent="0.35">
      <c r="A73" s="241" t="s">
        <v>224</v>
      </c>
      <c r="B73" s="262"/>
      <c r="C73" s="236" t="s">
        <v>312</v>
      </c>
      <c r="D73" s="217">
        <v>6866400</v>
      </c>
      <c r="E73" s="217">
        <v>0</v>
      </c>
      <c r="F73" s="217">
        <f>D73+E73</f>
        <v>6866400</v>
      </c>
      <c r="G73" s="220">
        <f t="shared" ref="G73:G77" si="46">F73/$F$79*100</f>
        <v>6.1354704892901471E-2</v>
      </c>
      <c r="H73" s="219">
        <v>5908800</v>
      </c>
      <c r="I73" s="220">
        <f t="shared" ref="I73:I77" si="47">H73/F73*100</f>
        <v>86.053827333100315</v>
      </c>
      <c r="J73" s="221">
        <f t="shared" ref="J73:J77" si="48">I73</f>
        <v>86.053827333100315</v>
      </c>
      <c r="K73" s="222">
        <f>J73*G73/100</f>
        <v>5.279807180927068E-2</v>
      </c>
      <c r="L73" s="223">
        <f t="shared" ref="L73:L76" si="49">F73-H73</f>
        <v>957600</v>
      </c>
      <c r="M73" s="244"/>
    </row>
    <row r="74" spans="1:13" s="263" customFormat="1" ht="15" customHeight="1" x14ac:dyDescent="0.35">
      <c r="A74" s="241" t="s">
        <v>225</v>
      </c>
      <c r="B74" s="262"/>
      <c r="C74" s="236" t="s">
        <v>220</v>
      </c>
      <c r="D74" s="217">
        <f>17650000+14989000</f>
        <v>32639000</v>
      </c>
      <c r="E74" s="217">
        <v>0</v>
      </c>
      <c r="F74" s="217">
        <f t="shared" ref="F74:F77" si="50">D74+E74</f>
        <v>32639000</v>
      </c>
      <c r="G74" s="220">
        <f t="shared" si="46"/>
        <v>0.29164572599898214</v>
      </c>
      <c r="H74" s="219">
        <v>32639000</v>
      </c>
      <c r="I74" s="220">
        <f t="shared" si="47"/>
        <v>100</v>
      </c>
      <c r="J74" s="221">
        <f t="shared" si="48"/>
        <v>100</v>
      </c>
      <c r="K74" s="222">
        <f>J74*G74/100</f>
        <v>0.29164572599898214</v>
      </c>
      <c r="L74" s="223">
        <f t="shared" si="49"/>
        <v>0</v>
      </c>
      <c r="M74" s="244"/>
    </row>
    <row r="75" spans="1:13" s="263" customFormat="1" ht="30" customHeight="1" x14ac:dyDescent="0.35">
      <c r="A75" s="241" t="s">
        <v>226</v>
      </c>
      <c r="B75" s="262"/>
      <c r="C75" s="236" t="s">
        <v>221</v>
      </c>
      <c r="D75" s="217">
        <v>157520000</v>
      </c>
      <c r="E75" s="217">
        <v>0</v>
      </c>
      <c r="F75" s="217">
        <f t="shared" si="50"/>
        <v>157520000</v>
      </c>
      <c r="G75" s="220">
        <f t="shared" si="46"/>
        <v>1.407519677666585</v>
      </c>
      <c r="H75" s="352">
        <v>115050000</v>
      </c>
      <c r="I75" s="220">
        <f t="shared" si="47"/>
        <v>73.038344337227016</v>
      </c>
      <c r="J75" s="221">
        <f t="shared" si="48"/>
        <v>73.038344337227016</v>
      </c>
      <c r="K75" s="222">
        <f>J75*G75/100</f>
        <v>1.0280290687883482</v>
      </c>
      <c r="L75" s="223">
        <f t="shared" si="49"/>
        <v>42470000</v>
      </c>
      <c r="M75" s="244"/>
    </row>
    <row r="76" spans="1:13" s="263" customFormat="1" ht="15" customHeight="1" x14ac:dyDescent="0.35">
      <c r="A76" s="241" t="s">
        <v>314</v>
      </c>
      <c r="B76" s="262"/>
      <c r="C76" s="236" t="s">
        <v>313</v>
      </c>
      <c r="D76" s="217">
        <v>0</v>
      </c>
      <c r="E76" s="217">
        <v>0</v>
      </c>
      <c r="F76" s="217">
        <f t="shared" si="50"/>
        <v>0</v>
      </c>
      <c r="G76" s="220">
        <f t="shared" si="46"/>
        <v>0</v>
      </c>
      <c r="H76" s="219">
        <v>0</v>
      </c>
      <c r="I76" s="220">
        <v>0</v>
      </c>
      <c r="J76" s="221"/>
      <c r="K76" s="222"/>
      <c r="L76" s="223">
        <f t="shared" si="49"/>
        <v>0</v>
      </c>
      <c r="M76" s="244"/>
    </row>
    <row r="77" spans="1:13" s="263" customFormat="1" ht="30" customHeight="1" x14ac:dyDescent="0.35">
      <c r="A77" s="241" t="s">
        <v>227</v>
      </c>
      <c r="B77" s="262"/>
      <c r="C77" s="236" t="s">
        <v>222</v>
      </c>
      <c r="D77" s="217">
        <v>21760000</v>
      </c>
      <c r="E77" s="217">
        <v>0</v>
      </c>
      <c r="F77" s="217">
        <f t="shared" si="50"/>
        <v>21760000</v>
      </c>
      <c r="G77" s="220">
        <f t="shared" si="46"/>
        <v>0.19443644099812651</v>
      </c>
      <c r="H77" s="219">
        <v>21693985</v>
      </c>
      <c r="I77" s="220">
        <f t="shared" si="47"/>
        <v>99.696622242647067</v>
      </c>
      <c r="J77" s="221">
        <f t="shared" si="48"/>
        <v>99.696622242647067</v>
      </c>
      <c r="K77" s="222">
        <f>J77*G77/100</f>
        <v>0.19384656408394954</v>
      </c>
      <c r="L77" s="223">
        <f>F77-H77</f>
        <v>66015</v>
      </c>
      <c r="M77" s="244"/>
    </row>
    <row r="78" spans="1:13" s="263" customFormat="1" ht="15" customHeight="1" x14ac:dyDescent="0.35">
      <c r="A78" s="241"/>
      <c r="B78" s="262"/>
      <c r="C78" s="236"/>
      <c r="D78" s="217"/>
      <c r="E78" s="217"/>
      <c r="F78" s="217"/>
      <c r="G78" s="220"/>
      <c r="H78" s="219"/>
      <c r="I78" s="220"/>
      <c r="J78" s="221"/>
      <c r="K78" s="222"/>
      <c r="L78" s="223"/>
      <c r="M78" s="244"/>
    </row>
    <row r="79" spans="1:13" s="263" customFormat="1" ht="15" customHeight="1" x14ac:dyDescent="0.35">
      <c r="A79" s="448" t="s">
        <v>145</v>
      </c>
      <c r="B79" s="449"/>
      <c r="C79" s="449"/>
      <c r="D79" s="237">
        <f>D10+D37+D45+D58+D65+D71</f>
        <v>11191317784</v>
      </c>
      <c r="E79" s="237">
        <f>E10+E37+E45+E58+E65+E71</f>
        <v>0</v>
      </c>
      <c r="F79" s="237">
        <f>F10+F37+F45+F58+F65+F71</f>
        <v>11191317784</v>
      </c>
      <c r="G79" s="238">
        <f>SUM(G12:G78)</f>
        <v>100</v>
      </c>
      <c r="H79" s="237">
        <f>H10+H37+H45+H58+H65+H71</f>
        <v>6256999792</v>
      </c>
      <c r="I79" s="269">
        <f>H79/F79*100</f>
        <v>55.909410426585382</v>
      </c>
      <c r="J79" s="238">
        <f>I79</f>
        <v>55.909410426585382</v>
      </c>
      <c r="K79" s="238">
        <f>J79*G79/100</f>
        <v>55.909410426585382</v>
      </c>
      <c r="L79" s="237">
        <f>L10+L37+L45+L58+L65+L71</f>
        <v>4934317992</v>
      </c>
      <c r="M79" s="270"/>
    </row>
    <row r="80" spans="1:13" s="263" customFormat="1" ht="15.5" x14ac:dyDescent="0.35">
      <c r="A80" s="271"/>
      <c r="B80" s="272"/>
      <c r="C80" s="272"/>
      <c r="D80" s="274"/>
      <c r="E80" s="274"/>
      <c r="F80" s="274"/>
      <c r="G80" s="275"/>
      <c r="H80" s="274"/>
      <c r="I80" s="276"/>
      <c r="J80" s="276"/>
      <c r="K80" s="276"/>
      <c r="L80" s="310"/>
      <c r="M80" s="277"/>
    </row>
    <row r="81" spans="1:13" s="263" customFormat="1" ht="15.5" x14ac:dyDescent="0.35">
      <c r="A81" s="271"/>
      <c r="B81" s="272"/>
      <c r="C81" s="272"/>
      <c r="D81" s="274"/>
      <c r="E81" s="274"/>
      <c r="F81" s="274"/>
      <c r="G81" s="275"/>
      <c r="H81" s="321"/>
      <c r="I81" s="450" t="s">
        <v>341</v>
      </c>
      <c r="J81" s="450"/>
      <c r="K81" s="450"/>
      <c r="L81" s="276"/>
      <c r="M81" s="277"/>
    </row>
    <row r="82" spans="1:13" s="263" customFormat="1" ht="15.5" x14ac:dyDescent="0.35">
      <c r="A82" s="271"/>
      <c r="B82" s="272"/>
      <c r="C82" s="272"/>
      <c r="D82" s="274"/>
      <c r="E82" s="274"/>
      <c r="F82" s="279"/>
      <c r="G82" s="280"/>
      <c r="H82" s="321"/>
      <c r="I82" s="450" t="s">
        <v>177</v>
      </c>
      <c r="J82" s="450"/>
      <c r="K82" s="450"/>
      <c r="L82" s="276"/>
      <c r="M82" s="277"/>
    </row>
    <row r="83" spans="1:13" s="263" customFormat="1" ht="15.5" x14ac:dyDescent="0.35">
      <c r="A83" s="271"/>
      <c r="B83" s="272"/>
      <c r="C83" s="272"/>
      <c r="D83" s="274"/>
      <c r="E83" s="274"/>
      <c r="F83" s="279"/>
      <c r="G83" s="280"/>
      <c r="H83" s="322"/>
      <c r="I83" s="450"/>
      <c r="J83" s="450"/>
      <c r="K83" s="450"/>
      <c r="L83" s="276"/>
      <c r="M83" s="277"/>
    </row>
    <row r="84" spans="1:13" s="263" customFormat="1" ht="15.5" x14ac:dyDescent="0.35">
      <c r="A84" s="271"/>
      <c r="B84" s="272"/>
      <c r="C84" s="272"/>
      <c r="D84" s="274"/>
      <c r="E84" s="274"/>
      <c r="F84" s="279"/>
      <c r="G84" s="280"/>
      <c r="H84" s="322"/>
      <c r="I84" s="281"/>
      <c r="J84" s="281"/>
      <c r="K84" s="281"/>
      <c r="L84" s="276"/>
      <c r="M84" s="277"/>
    </row>
    <row r="85" spans="1:13" s="263" customFormat="1" ht="15.5" x14ac:dyDescent="0.35">
      <c r="A85" s="271"/>
      <c r="B85" s="272"/>
      <c r="C85" s="272"/>
      <c r="D85" s="274"/>
      <c r="E85" s="274"/>
      <c r="F85" s="274"/>
      <c r="G85" s="280"/>
      <c r="H85" s="322"/>
      <c r="I85" s="282"/>
      <c r="J85" s="281"/>
      <c r="K85" s="282"/>
      <c r="L85" s="276"/>
      <c r="M85" s="277"/>
    </row>
    <row r="86" spans="1:13" s="263" customFormat="1" ht="18.5" x14ac:dyDescent="0.35">
      <c r="A86" s="271"/>
      <c r="B86" s="272"/>
      <c r="C86" s="278"/>
      <c r="D86" s="274"/>
      <c r="E86" s="274"/>
      <c r="F86" s="274"/>
      <c r="G86" s="280"/>
      <c r="H86" s="321"/>
      <c r="I86" s="451" t="s">
        <v>329</v>
      </c>
      <c r="J86" s="451"/>
      <c r="K86" s="451"/>
      <c r="L86" s="276"/>
      <c r="M86" s="277"/>
    </row>
    <row r="87" spans="1:13" s="263" customFormat="1" ht="15.5" x14ac:dyDescent="0.35">
      <c r="A87" s="283"/>
      <c r="B87" s="284"/>
      <c r="C87" s="284"/>
      <c r="D87" s="285"/>
      <c r="E87" s="285"/>
      <c r="F87" s="285"/>
      <c r="G87" s="286"/>
      <c r="H87" s="323"/>
      <c r="I87" s="444" t="s">
        <v>330</v>
      </c>
      <c r="J87" s="444"/>
      <c r="K87" s="444"/>
      <c r="L87" s="311"/>
      <c r="M87" s="288"/>
    </row>
    <row r="88" spans="1:13" ht="15.5" x14ac:dyDescent="0.35">
      <c r="A88" s="164"/>
      <c r="B88" s="164"/>
      <c r="C88" s="164"/>
      <c r="D88" s="165"/>
      <c r="E88" s="165"/>
      <c r="F88" s="165"/>
      <c r="G88" s="176"/>
      <c r="H88" s="324"/>
      <c r="I88" s="165"/>
      <c r="J88" s="165"/>
      <c r="K88" s="165"/>
      <c r="L88" s="165"/>
      <c r="M88" s="165"/>
    </row>
  </sheetData>
  <protectedRanges>
    <protectedRange sqref="H19:H20 H25:H26 H32:H33 H41:H42 H37:H38 H78 H70 H28:H29 H10:H15 H44:H46 H49:H50 H64:H66 H52:H53 H57:H62" name="Range1"/>
    <protectedRange sqref="H27" name="Range1_18"/>
    <protectedRange sqref="H36" name="Range1_19"/>
    <protectedRange sqref="H67:H69" name="Range1_14_1"/>
    <protectedRange sqref="H73:H74 H76:H77" name="Range1_13_1"/>
    <protectedRange sqref="H54:H56" name="Range1_3_2"/>
    <protectedRange sqref="H51 H16:H18 H21:H24 H30:H31 H39:H40 H43 H47:H48 H63 H75" name="Range1_1"/>
    <protectedRange sqref="H35" name="Range1_1_2"/>
  </protectedRanges>
  <mergeCells count="20">
    <mergeCell ref="I87:K87"/>
    <mergeCell ref="L6:L8"/>
    <mergeCell ref="A79:C79"/>
    <mergeCell ref="I81:K81"/>
    <mergeCell ref="I82:K82"/>
    <mergeCell ref="I83:K83"/>
    <mergeCell ref="I86:K86"/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M6:M9"/>
    <mergeCell ref="H7:I8"/>
    <mergeCell ref="J7:K8"/>
  </mergeCells>
  <pageMargins left="0.48" right="0.55118110236220474" top="0.81" bottom="0.31496062992125984" header="0.23622047244094491" footer="0.23622047244094491"/>
  <pageSetup paperSize="5" scale="75" orientation="landscape" horizontalDpi="4294967293" r:id="rId1"/>
  <rowBreaks count="2" manualBreakCount="2">
    <brk id="36" max="12" man="1"/>
    <brk id="6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view="pageBreakPreview" topLeftCell="A4" zoomScale="90" zoomScaleNormal="90" zoomScaleSheetLayoutView="90" workbookViewId="0">
      <selection activeCell="J17" sqref="J17"/>
    </sheetView>
  </sheetViews>
  <sheetFormatPr defaultColWidth="9.1796875" defaultRowHeight="14.5" x14ac:dyDescent="0.35"/>
  <cols>
    <col min="1" max="3" width="5.7265625" style="88" customWidth="1"/>
    <col min="4" max="4" width="1.81640625" style="88" customWidth="1"/>
    <col min="5" max="5" width="40.26953125" style="88" customWidth="1"/>
    <col min="6" max="8" width="15.7265625" style="88" customWidth="1"/>
    <col min="9" max="9" width="8.7265625" style="88" customWidth="1"/>
    <col min="10" max="10" width="15.7265625" style="88" customWidth="1"/>
    <col min="11" max="12" width="8.7265625" style="88" customWidth="1"/>
    <col min="13" max="13" width="14.26953125" style="88" customWidth="1"/>
    <col min="14" max="14" width="17.1796875" style="88" customWidth="1"/>
    <col min="15" max="15" width="10.1796875" style="88" customWidth="1"/>
    <col min="16" max="17" width="12.7265625" style="88" bestFit="1" customWidth="1"/>
    <col min="18" max="18" width="16" style="88" customWidth="1"/>
    <col min="19" max="16384" width="9.1796875" style="88"/>
  </cols>
  <sheetData>
    <row r="1" spans="1:15" ht="27" customHeight="1" x14ac:dyDescent="0.85">
      <c r="A1" s="378" t="s">
        <v>198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/>
    </row>
    <row r="2" spans="1:15" ht="28.5" customHeight="1" x14ac:dyDescent="0.85">
      <c r="A2" s="381" t="s">
        <v>319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/>
    </row>
    <row r="3" spans="1:15" x14ac:dyDescent="0.35">
      <c r="A3" s="89"/>
      <c r="B3" s="290"/>
      <c r="C3" s="290"/>
      <c r="D3" s="2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5.5" x14ac:dyDescent="0.35">
      <c r="A4" s="93" t="s">
        <v>295</v>
      </c>
      <c r="B4" s="96"/>
      <c r="C4" s="96"/>
      <c r="D4" s="95" t="s">
        <v>1</v>
      </c>
      <c r="E4" s="94" t="s">
        <v>331</v>
      </c>
      <c r="F4" s="95"/>
      <c r="G4" s="95"/>
      <c r="H4" s="96"/>
      <c r="I4" s="96"/>
      <c r="J4" s="96"/>
      <c r="K4" s="95"/>
      <c r="L4" s="95"/>
      <c r="M4" s="95"/>
      <c r="N4" s="95"/>
      <c r="O4" s="97"/>
    </row>
    <row r="5" spans="1:15" ht="15.5" x14ac:dyDescent="0.35">
      <c r="A5" s="93" t="s">
        <v>3</v>
      </c>
      <c r="B5" s="96"/>
      <c r="C5" s="96"/>
      <c r="D5" s="95" t="s">
        <v>1</v>
      </c>
      <c r="E5" s="94" t="s">
        <v>338</v>
      </c>
      <c r="F5" s="478"/>
      <c r="G5" s="478"/>
      <c r="H5" s="96"/>
      <c r="I5" s="96"/>
      <c r="J5" s="96"/>
      <c r="K5" s="95"/>
      <c r="L5" s="95"/>
      <c r="M5" s="95"/>
      <c r="N5" s="95"/>
      <c r="O5" s="97"/>
    </row>
    <row r="6" spans="1:15" ht="16" customHeight="1" x14ac:dyDescent="0.35">
      <c r="A6" s="479" t="s">
        <v>4</v>
      </c>
      <c r="B6" s="387"/>
      <c r="C6" s="388"/>
      <c r="D6" s="479" t="s">
        <v>5</v>
      </c>
      <c r="E6" s="388"/>
      <c r="F6" s="393" t="s">
        <v>189</v>
      </c>
      <c r="G6" s="371" t="s">
        <v>190</v>
      </c>
      <c r="H6" s="371" t="s">
        <v>191</v>
      </c>
      <c r="I6" s="371" t="s">
        <v>9</v>
      </c>
      <c r="J6" s="374" t="s">
        <v>204</v>
      </c>
      <c r="K6" s="374"/>
      <c r="L6" s="374"/>
      <c r="M6" s="374"/>
      <c r="N6" s="371" t="s">
        <v>192</v>
      </c>
      <c r="O6" s="384" t="s">
        <v>12</v>
      </c>
    </row>
    <row r="7" spans="1:15" ht="16" customHeight="1" x14ac:dyDescent="0.35">
      <c r="A7" s="480"/>
      <c r="B7" s="389"/>
      <c r="C7" s="390"/>
      <c r="D7" s="480"/>
      <c r="E7" s="390"/>
      <c r="F7" s="394"/>
      <c r="G7" s="372"/>
      <c r="H7" s="372"/>
      <c r="I7" s="372"/>
      <c r="J7" s="482" t="s">
        <v>13</v>
      </c>
      <c r="K7" s="483"/>
      <c r="L7" s="387" t="s">
        <v>14</v>
      </c>
      <c r="M7" s="388"/>
      <c r="N7" s="372"/>
      <c r="O7" s="385"/>
    </row>
    <row r="8" spans="1:15" ht="16" customHeight="1" x14ac:dyDescent="0.35">
      <c r="A8" s="480"/>
      <c r="B8" s="389"/>
      <c r="C8" s="390"/>
      <c r="D8" s="480"/>
      <c r="E8" s="390"/>
      <c r="F8" s="394"/>
      <c r="G8" s="372"/>
      <c r="H8" s="372"/>
      <c r="I8" s="372"/>
      <c r="J8" s="484"/>
      <c r="K8" s="485"/>
      <c r="L8" s="391"/>
      <c r="M8" s="392"/>
      <c r="N8" s="372"/>
      <c r="O8" s="385"/>
    </row>
    <row r="9" spans="1:15" ht="16" customHeight="1" x14ac:dyDescent="0.35">
      <c r="A9" s="481"/>
      <c r="B9" s="391"/>
      <c r="C9" s="392"/>
      <c r="D9" s="481"/>
      <c r="E9" s="392"/>
      <c r="F9" s="317" t="s">
        <v>15</v>
      </c>
      <c r="G9" s="100" t="s">
        <v>15</v>
      </c>
      <c r="H9" s="100" t="s">
        <v>15</v>
      </c>
      <c r="I9" s="373"/>
      <c r="J9" s="99" t="s">
        <v>15</v>
      </c>
      <c r="K9" s="99" t="s">
        <v>16</v>
      </c>
      <c r="L9" s="99" t="s">
        <v>16</v>
      </c>
      <c r="M9" s="100" t="s">
        <v>17</v>
      </c>
      <c r="N9" s="100" t="s">
        <v>15</v>
      </c>
      <c r="O9" s="386"/>
    </row>
    <row r="10" spans="1:15" ht="16" customHeight="1" x14ac:dyDescent="0.35">
      <c r="A10" s="291">
        <v>5</v>
      </c>
      <c r="B10" s="292"/>
      <c r="C10" s="292"/>
      <c r="D10" s="293"/>
      <c r="E10" s="294" t="s">
        <v>296</v>
      </c>
      <c r="F10" s="218">
        <f>SUM(F11,F15)</f>
        <v>11191317784</v>
      </c>
      <c r="G10" s="218">
        <f>SUM(G11,G15)</f>
        <v>0</v>
      </c>
      <c r="H10" s="218">
        <f>SUM(H11,H15)</f>
        <v>11191317784</v>
      </c>
      <c r="I10" s="295">
        <f>SUM(I11,I15)</f>
        <v>100.00000000000001</v>
      </c>
      <c r="J10" s="218">
        <f>SUM(J11,J15)</f>
        <v>5402625800</v>
      </c>
      <c r="K10" s="297"/>
      <c r="L10" s="296"/>
      <c r="M10" s="296"/>
      <c r="N10" s="358">
        <f>H10-J10</f>
        <v>5788691984</v>
      </c>
      <c r="O10" s="109"/>
    </row>
    <row r="11" spans="1:15" ht="16" customHeight="1" x14ac:dyDescent="0.35">
      <c r="A11" s="298">
        <v>5</v>
      </c>
      <c r="B11" s="299">
        <v>1</v>
      </c>
      <c r="C11" s="299"/>
      <c r="D11" s="293"/>
      <c r="E11" s="294" t="s">
        <v>297</v>
      </c>
      <c r="F11" s="218">
        <f>SUM(F12:F13)</f>
        <v>10932030121</v>
      </c>
      <c r="G11" s="218">
        <f>SUM(G12:G13)</f>
        <v>0</v>
      </c>
      <c r="H11" s="218">
        <f>SUM(H12:H13)</f>
        <v>10932030121</v>
      </c>
      <c r="I11" s="295">
        <f>SUM(I12:I13)</f>
        <v>97.683135552001772</v>
      </c>
      <c r="J11" s="218">
        <f>SUM(J12:J13)</f>
        <v>5376394280</v>
      </c>
      <c r="K11" s="297"/>
      <c r="L11" s="296"/>
      <c r="M11" s="296"/>
      <c r="N11" s="358">
        <f>H11-J11</f>
        <v>5555635841</v>
      </c>
      <c r="O11" s="109"/>
    </row>
    <row r="12" spans="1:15" ht="16" customHeight="1" x14ac:dyDescent="0.35">
      <c r="A12" s="298">
        <v>5</v>
      </c>
      <c r="B12" s="299">
        <v>1</v>
      </c>
      <c r="C12" s="300" t="s">
        <v>298</v>
      </c>
      <c r="D12" s="301"/>
      <c r="E12" s="121" t="s">
        <v>299</v>
      </c>
      <c r="F12" s="217">
        <v>5133164017</v>
      </c>
      <c r="G12" s="217">
        <v>0</v>
      </c>
      <c r="H12" s="217">
        <f>F12+G12</f>
        <v>5133164017</v>
      </c>
      <c r="I12" s="220">
        <f>H12/$H$19*100</f>
        <v>45.867377873397366</v>
      </c>
      <c r="J12" s="219">
        <v>3320203374</v>
      </c>
      <c r="K12" s="220">
        <f>J12/H12*100</f>
        <v>64.681419939128361</v>
      </c>
      <c r="L12" s="221">
        <f>K12</f>
        <v>64.681419939128361</v>
      </c>
      <c r="M12" s="222">
        <f>L12*I12/100</f>
        <v>29.667671297358993</v>
      </c>
      <c r="N12" s="241">
        <f>H12-J12</f>
        <v>1812960643</v>
      </c>
      <c r="O12" s="114"/>
    </row>
    <row r="13" spans="1:15" ht="16" customHeight="1" x14ac:dyDescent="0.35">
      <c r="A13" s="298">
        <v>5</v>
      </c>
      <c r="B13" s="299">
        <v>1</v>
      </c>
      <c r="C13" s="300" t="s">
        <v>300</v>
      </c>
      <c r="D13" s="301"/>
      <c r="E13" s="121" t="s">
        <v>301</v>
      </c>
      <c r="F13" s="217">
        <v>5798866104</v>
      </c>
      <c r="G13" s="217">
        <v>0</v>
      </c>
      <c r="H13" s="217">
        <f>F13+G13</f>
        <v>5798866104</v>
      </c>
      <c r="I13" s="220">
        <f>H13/$H$19*100</f>
        <v>51.815757678604399</v>
      </c>
      <c r="J13" s="219">
        <v>2056190906</v>
      </c>
      <c r="K13" s="220">
        <f t="shared" ref="K13:K16" si="0">J13/H13*100</f>
        <v>35.458499457017297</v>
      </c>
      <c r="L13" s="221">
        <f>K13</f>
        <v>35.458499457017297</v>
      </c>
      <c r="M13" s="222">
        <f>L13*I13/100</f>
        <v>18.373090155117339</v>
      </c>
      <c r="N13" s="241">
        <f>H13-J13</f>
        <v>3742675198</v>
      </c>
      <c r="O13" s="114"/>
    </row>
    <row r="14" spans="1:15" ht="16" customHeight="1" x14ac:dyDescent="0.35">
      <c r="A14" s="302"/>
      <c r="B14" s="303"/>
      <c r="C14" s="303"/>
      <c r="D14" s="304"/>
      <c r="E14" s="121"/>
      <c r="F14" s="217"/>
      <c r="G14" s="217"/>
      <c r="H14" s="218"/>
      <c r="I14" s="220"/>
      <c r="J14" s="219"/>
      <c r="K14" s="220"/>
      <c r="L14" s="221"/>
      <c r="M14" s="222"/>
      <c r="N14" s="241"/>
      <c r="O14" s="114"/>
    </row>
    <row r="15" spans="1:15" ht="16" customHeight="1" x14ac:dyDescent="0.35">
      <c r="A15" s="298">
        <v>5</v>
      </c>
      <c r="B15" s="299">
        <v>2</v>
      </c>
      <c r="C15" s="293"/>
      <c r="D15" s="293"/>
      <c r="E15" s="294" t="s">
        <v>302</v>
      </c>
      <c r="F15" s="218">
        <f>SUM(F16:F18)</f>
        <v>259287663</v>
      </c>
      <c r="G15" s="218">
        <f>SUM(G16:G18)</f>
        <v>0</v>
      </c>
      <c r="H15" s="218">
        <f>SUM(H16:H18)</f>
        <v>259287663</v>
      </c>
      <c r="I15" s="295">
        <f>SUM(I16:I18)</f>
        <v>2.3168644479982357</v>
      </c>
      <c r="J15" s="218">
        <f>SUM(J16:J18)</f>
        <v>26231520</v>
      </c>
      <c r="K15" s="220">
        <f t="shared" si="0"/>
        <v>10.116763634835953</v>
      </c>
      <c r="L15" s="221">
        <f>K15</f>
        <v>10.116763634835953</v>
      </c>
      <c r="M15" s="296"/>
      <c r="N15" s="358">
        <f>H15-J15</f>
        <v>233056143</v>
      </c>
      <c r="O15" s="114"/>
    </row>
    <row r="16" spans="1:15" ht="16" customHeight="1" x14ac:dyDescent="0.35">
      <c r="A16" s="298">
        <v>5</v>
      </c>
      <c r="B16" s="299">
        <v>2</v>
      </c>
      <c r="C16" s="300" t="s">
        <v>300</v>
      </c>
      <c r="D16" s="301"/>
      <c r="E16" s="305" t="s">
        <v>303</v>
      </c>
      <c r="F16" s="217">
        <v>259287663</v>
      </c>
      <c r="G16" s="217">
        <v>0</v>
      </c>
      <c r="H16" s="217">
        <f>F16+G16</f>
        <v>259287663</v>
      </c>
      <c r="I16" s="220">
        <f>H16/$H$19*100</f>
        <v>2.3168644479982357</v>
      </c>
      <c r="J16" s="219">
        <v>26231520</v>
      </c>
      <c r="K16" s="220">
        <f t="shared" si="0"/>
        <v>10.116763634835953</v>
      </c>
      <c r="L16" s="221">
        <f t="shared" ref="L16:L18" si="1">K16</f>
        <v>10.116763634835953</v>
      </c>
      <c r="M16" s="306">
        <f>L16*I16/100</f>
        <v>0.23439169994352824</v>
      </c>
      <c r="N16" s="241">
        <f>H16-J16</f>
        <v>233056143</v>
      </c>
      <c r="O16" s="114"/>
    </row>
    <row r="17" spans="1:15" ht="16" customHeight="1" x14ac:dyDescent="0.35">
      <c r="A17" s="298">
        <v>5</v>
      </c>
      <c r="B17" s="299">
        <v>2</v>
      </c>
      <c r="C17" s="300" t="s">
        <v>304</v>
      </c>
      <c r="D17" s="301"/>
      <c r="E17" s="305" t="s">
        <v>305</v>
      </c>
      <c r="F17" s="217">
        <v>0</v>
      </c>
      <c r="G17" s="217">
        <v>0</v>
      </c>
      <c r="H17" s="217">
        <f t="shared" ref="H17:H18" si="2">F17+G17</f>
        <v>0</v>
      </c>
      <c r="I17" s="220">
        <f>F17/$F$19*100</f>
        <v>0</v>
      </c>
      <c r="J17" s="219">
        <v>0</v>
      </c>
      <c r="K17" s="220">
        <v>0</v>
      </c>
      <c r="L17" s="221">
        <f t="shared" si="1"/>
        <v>0</v>
      </c>
      <c r="M17" s="306">
        <f>L17*I17/100</f>
        <v>0</v>
      </c>
      <c r="N17" s="241">
        <f t="shared" ref="N17:N18" si="3">F17-J17</f>
        <v>0</v>
      </c>
      <c r="O17" s="114"/>
    </row>
    <row r="18" spans="1:15" ht="16" customHeight="1" x14ac:dyDescent="0.35">
      <c r="A18" s="298">
        <v>5</v>
      </c>
      <c r="B18" s="299">
        <v>2</v>
      </c>
      <c r="C18" s="300" t="s">
        <v>306</v>
      </c>
      <c r="D18" s="301"/>
      <c r="E18" s="305" t="s">
        <v>307</v>
      </c>
      <c r="F18" s="217">
        <v>0</v>
      </c>
      <c r="G18" s="217">
        <v>0</v>
      </c>
      <c r="H18" s="217">
        <f t="shared" si="2"/>
        <v>0</v>
      </c>
      <c r="I18" s="220">
        <f>F18/$F$19*100</f>
        <v>0</v>
      </c>
      <c r="J18" s="219">
        <v>0</v>
      </c>
      <c r="K18" s="220">
        <v>0</v>
      </c>
      <c r="L18" s="221">
        <f t="shared" si="1"/>
        <v>0</v>
      </c>
      <c r="M18" s="306">
        <f>L18*I18/100</f>
        <v>0</v>
      </c>
      <c r="N18" s="241">
        <f t="shared" si="3"/>
        <v>0</v>
      </c>
      <c r="O18" s="114"/>
    </row>
    <row r="19" spans="1:15" s="245" customFormat="1" ht="20.149999999999999" customHeight="1" x14ac:dyDescent="0.35">
      <c r="A19" s="448" t="s">
        <v>145</v>
      </c>
      <c r="B19" s="449"/>
      <c r="C19" s="449"/>
      <c r="D19" s="449"/>
      <c r="E19" s="449"/>
      <c r="F19" s="237">
        <f>F10</f>
        <v>11191317784</v>
      </c>
      <c r="G19" s="237">
        <f>G10</f>
        <v>0</v>
      </c>
      <c r="H19" s="237">
        <f>H10</f>
        <v>11191317784</v>
      </c>
      <c r="I19" s="238">
        <f>I10</f>
        <v>100.00000000000001</v>
      </c>
      <c r="J19" s="237">
        <f>J11+J15</f>
        <v>5402625800</v>
      </c>
      <c r="K19" s="269">
        <f>J19/H19*100</f>
        <v>48.275153152419861</v>
      </c>
      <c r="L19" s="238">
        <f>K19</f>
        <v>48.275153152419861</v>
      </c>
      <c r="M19" s="307">
        <f>L19*I19/100</f>
        <v>48.275153152419868</v>
      </c>
      <c r="N19" s="237">
        <f>N10</f>
        <v>5788691984</v>
      </c>
      <c r="O19" s="270"/>
    </row>
    <row r="20" spans="1:15" ht="15.5" x14ac:dyDescent="0.35">
      <c r="A20" s="151"/>
      <c r="B20" s="224"/>
      <c r="C20" s="224"/>
      <c r="D20" s="224"/>
      <c r="E20" s="106"/>
      <c r="F20" s="152"/>
      <c r="G20" s="153"/>
      <c r="H20" s="153"/>
      <c r="I20" s="173"/>
      <c r="J20" s="153"/>
      <c r="K20" s="154"/>
      <c r="L20" s="154"/>
      <c r="M20" s="154"/>
      <c r="N20" s="154"/>
      <c r="O20" s="155"/>
    </row>
    <row r="21" spans="1:15" ht="15.5" x14ac:dyDescent="0.35">
      <c r="A21" s="151"/>
      <c r="B21" s="224"/>
      <c r="C21" s="224"/>
      <c r="D21" s="224"/>
      <c r="E21" s="106"/>
      <c r="F21" s="152"/>
      <c r="G21" s="153"/>
      <c r="H21" s="153"/>
      <c r="I21" s="173"/>
      <c r="J21" s="156"/>
      <c r="K21" s="400" t="s">
        <v>339</v>
      </c>
      <c r="L21" s="400"/>
      <c r="M21" s="400"/>
      <c r="N21" s="154"/>
      <c r="O21" s="155"/>
    </row>
    <row r="22" spans="1:15" ht="15.5" x14ac:dyDescent="0.35">
      <c r="A22" s="151"/>
      <c r="B22" s="224"/>
      <c r="C22" s="224"/>
      <c r="D22" s="224"/>
      <c r="E22" s="106"/>
      <c r="F22" s="153"/>
      <c r="G22" s="153"/>
      <c r="H22" s="316"/>
      <c r="I22" s="174"/>
      <c r="J22" s="156"/>
      <c r="K22" s="400" t="s">
        <v>177</v>
      </c>
      <c r="L22" s="400"/>
      <c r="M22" s="400"/>
      <c r="N22" s="154"/>
      <c r="O22" s="155"/>
    </row>
    <row r="23" spans="1:15" ht="15.5" x14ac:dyDescent="0.35">
      <c r="A23" s="151"/>
      <c r="B23" s="224"/>
      <c r="C23" s="224"/>
      <c r="D23" s="224"/>
      <c r="E23" s="106"/>
      <c r="F23" s="153"/>
      <c r="G23" s="153"/>
      <c r="H23" s="316"/>
      <c r="I23" s="174"/>
      <c r="J23" s="312"/>
      <c r="K23" s="400"/>
      <c r="L23" s="400"/>
      <c r="M23" s="400"/>
      <c r="N23" s="154"/>
      <c r="O23" s="155"/>
    </row>
    <row r="24" spans="1:15" ht="15.5" x14ac:dyDescent="0.35">
      <c r="A24" s="151"/>
      <c r="B24" s="224"/>
      <c r="C24" s="224"/>
      <c r="D24" s="224"/>
      <c r="E24" s="106"/>
      <c r="F24" s="153"/>
      <c r="G24" s="153"/>
      <c r="H24" s="157"/>
      <c r="I24" s="174"/>
      <c r="J24" s="308"/>
      <c r="K24" s="213"/>
      <c r="L24" s="213"/>
      <c r="M24" s="213"/>
      <c r="N24" s="154"/>
      <c r="O24" s="155"/>
    </row>
    <row r="25" spans="1:15" ht="15.5" x14ac:dyDescent="0.35">
      <c r="A25" s="151"/>
      <c r="B25" s="224"/>
      <c r="C25" s="224"/>
      <c r="D25" s="224"/>
      <c r="E25" s="106"/>
      <c r="F25" s="153"/>
      <c r="G25" s="153"/>
      <c r="H25" s="153"/>
      <c r="I25" s="174"/>
      <c r="J25" s="308"/>
      <c r="K25" s="214"/>
      <c r="L25" s="213"/>
      <c r="M25" s="214"/>
      <c r="N25" s="154"/>
      <c r="O25" s="155"/>
    </row>
    <row r="26" spans="1:15" ht="18.5" x14ac:dyDescent="0.35">
      <c r="A26" s="151"/>
      <c r="B26" s="224"/>
      <c r="C26" s="224"/>
      <c r="D26" s="224"/>
      <c r="E26" s="156"/>
      <c r="F26" s="153"/>
      <c r="G26" s="153"/>
      <c r="H26" s="153"/>
      <c r="I26" s="174"/>
      <c r="J26" s="156"/>
      <c r="K26" s="451" t="s">
        <v>329</v>
      </c>
      <c r="L26" s="451"/>
      <c r="M26" s="451"/>
      <c r="N26" s="154"/>
      <c r="O26" s="155"/>
    </row>
    <row r="27" spans="1:15" ht="15.5" x14ac:dyDescent="0.35">
      <c r="A27" s="158"/>
      <c r="B27" s="309"/>
      <c r="C27" s="309"/>
      <c r="D27" s="309"/>
      <c r="E27" s="159"/>
      <c r="F27" s="160"/>
      <c r="G27" s="160"/>
      <c r="H27" s="160"/>
      <c r="I27" s="175"/>
      <c r="J27" s="161"/>
      <c r="K27" s="444" t="s">
        <v>330</v>
      </c>
      <c r="L27" s="444"/>
      <c r="M27" s="444"/>
      <c r="N27" s="162"/>
      <c r="O27" s="163"/>
    </row>
    <row r="28" spans="1:15" ht="15.5" x14ac:dyDescent="0.35">
      <c r="A28" s="164"/>
      <c r="B28" s="164"/>
      <c r="C28" s="164"/>
      <c r="D28" s="164"/>
      <c r="E28" s="164"/>
      <c r="F28" s="165"/>
      <c r="G28" s="165"/>
      <c r="H28" s="165"/>
      <c r="I28" s="176"/>
      <c r="J28" s="165"/>
      <c r="K28" s="165"/>
      <c r="L28" s="165"/>
      <c r="M28" s="165"/>
      <c r="N28" s="165"/>
      <c r="O28" s="165"/>
    </row>
  </sheetData>
  <protectedRanges>
    <protectedRange sqref="J17:J18 J14" name="Range1"/>
    <protectedRange sqref="H23" name="Range1_1_1"/>
    <protectedRange sqref="H22" name="Range1_3_1_1"/>
    <protectedRange sqref="J16" name="Range1_18"/>
    <protectedRange sqref="J13" name="Range1_1"/>
    <protectedRange sqref="J12" name="Range1_3_1_2"/>
  </protectedRanges>
  <mergeCells count="20">
    <mergeCell ref="K27:M27"/>
    <mergeCell ref="N6:N8"/>
    <mergeCell ref="A19:E19"/>
    <mergeCell ref="K21:M21"/>
    <mergeCell ref="K22:M22"/>
    <mergeCell ref="K23:M23"/>
    <mergeCell ref="K26:M26"/>
    <mergeCell ref="A1:O1"/>
    <mergeCell ref="A2:O2"/>
    <mergeCell ref="F5:G5"/>
    <mergeCell ref="A6:C9"/>
    <mergeCell ref="D6:E9"/>
    <mergeCell ref="F6:F8"/>
    <mergeCell ref="G6:G8"/>
    <mergeCell ref="H6:H8"/>
    <mergeCell ref="I6:I9"/>
    <mergeCell ref="J6:M6"/>
    <mergeCell ref="O6:O9"/>
    <mergeCell ref="J7:K8"/>
    <mergeCell ref="L7:M8"/>
  </mergeCells>
  <pageMargins left="0.59055118110236227" right="0.70866141732283472" top="0.91" bottom="0.74803149606299213" header="0.31496062992125984" footer="0.31496062992125984"/>
  <pageSetup paperSize="5" scale="8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0"/>
  <sheetViews>
    <sheetView zoomScale="70" zoomScaleNormal="70" workbookViewId="0">
      <selection activeCell="D1" sqref="D1:D1048576"/>
    </sheetView>
  </sheetViews>
  <sheetFormatPr defaultRowHeight="14.5" x14ac:dyDescent="0.35"/>
  <cols>
    <col min="1" max="1" width="61.26953125" style="88" customWidth="1"/>
    <col min="2" max="2" width="15.26953125" customWidth="1"/>
    <col min="3" max="4" width="17.54296875" customWidth="1"/>
    <col min="6" max="6" width="50.26953125" style="88" customWidth="1"/>
    <col min="7" max="7" width="18.453125" style="88" customWidth="1"/>
    <col min="11" max="11" width="15.453125" customWidth="1"/>
  </cols>
  <sheetData>
    <row r="1" spans="1:7" x14ac:dyDescent="0.35">
      <c r="A1"/>
      <c r="F1"/>
      <c r="G1"/>
    </row>
    <row r="2" spans="1:7" x14ac:dyDescent="0.35">
      <c r="A2"/>
      <c r="F2"/>
      <c r="G2"/>
    </row>
    <row r="3" spans="1:7" x14ac:dyDescent="0.35">
      <c r="A3" s="248"/>
      <c r="F3" s="248"/>
      <c r="G3" s="248"/>
    </row>
    <row r="4" spans="1:7" ht="15.5" x14ac:dyDescent="0.35">
      <c r="A4" s="252" t="s">
        <v>318</v>
      </c>
      <c r="F4" s="252" t="s">
        <v>309</v>
      </c>
      <c r="G4" s="253"/>
    </row>
    <row r="5" spans="1:7" ht="15.5" x14ac:dyDescent="0.35">
      <c r="A5" s="252" t="s">
        <v>337</v>
      </c>
      <c r="F5" s="252" t="s">
        <v>338</v>
      </c>
      <c r="G5" s="253"/>
    </row>
    <row r="6" spans="1:7" ht="15" customHeight="1" x14ac:dyDescent="0.35">
      <c r="A6"/>
      <c r="F6"/>
      <c r="G6"/>
    </row>
    <row r="7" spans="1:7" ht="15" customHeight="1" x14ac:dyDescent="0.35">
      <c r="A7"/>
      <c r="F7"/>
      <c r="G7"/>
    </row>
    <row r="8" spans="1:7" ht="15" customHeight="1" x14ac:dyDescent="0.35">
      <c r="A8"/>
      <c r="F8"/>
      <c r="G8"/>
    </row>
    <row r="9" spans="1:7" ht="15" customHeight="1" x14ac:dyDescent="0.35">
      <c r="A9"/>
      <c r="F9"/>
      <c r="G9" s="239" t="s">
        <v>15</v>
      </c>
    </row>
    <row r="10" spans="1:7" ht="31" x14ac:dyDescent="0.35">
      <c r="A10" s="234" t="s">
        <v>262</v>
      </c>
      <c r="F10" s="234" t="s">
        <v>262</v>
      </c>
      <c r="G10" s="227">
        <f>G11+G14+G20+G23+G26</f>
        <v>200695106</v>
      </c>
    </row>
    <row r="11" spans="1:7" ht="31" x14ac:dyDescent="0.35">
      <c r="A11" s="235" t="s">
        <v>196</v>
      </c>
      <c r="F11" s="235" t="s">
        <v>199</v>
      </c>
      <c r="G11" s="231">
        <f>SUM(C17:C17)</f>
        <v>62676376</v>
      </c>
    </row>
    <row r="12" spans="1:7" ht="15.5" x14ac:dyDescent="0.35">
      <c r="A12" s="236" t="s">
        <v>197</v>
      </c>
      <c r="B12" s="361">
        <v>12031600</v>
      </c>
      <c r="D12" s="319">
        <f>B12+C12</f>
        <v>12031600</v>
      </c>
      <c r="F12" s="243" t="s">
        <v>200</v>
      </c>
    </row>
    <row r="13" spans="1:7" ht="15.5" x14ac:dyDescent="0.35">
      <c r="A13" s="236" t="s">
        <v>287</v>
      </c>
      <c r="B13" s="361">
        <v>9895000</v>
      </c>
      <c r="D13" s="319">
        <f t="shared" ref="D13:D76" si="0">B13+C13</f>
        <v>9895000</v>
      </c>
      <c r="F13" s="243"/>
      <c r="G13" s="219"/>
    </row>
    <row r="14" spans="1:7" ht="15.5" x14ac:dyDescent="0.35">
      <c r="A14" s="236"/>
      <c r="D14" s="319">
        <f t="shared" si="0"/>
        <v>0</v>
      </c>
      <c r="F14" s="265" t="s">
        <v>193</v>
      </c>
      <c r="G14" s="231">
        <f>SUM(G15:G18)</f>
        <v>63334795</v>
      </c>
    </row>
    <row r="15" spans="1:7" ht="31" x14ac:dyDescent="0.35">
      <c r="A15" s="235" t="s">
        <v>199</v>
      </c>
      <c r="D15" s="319">
        <f t="shared" si="0"/>
        <v>0</v>
      </c>
      <c r="F15" s="243" t="s">
        <v>42</v>
      </c>
      <c r="G15" s="219">
        <v>3402705</v>
      </c>
    </row>
    <row r="16" spans="1:7" ht="15.5" x14ac:dyDescent="0.35">
      <c r="A16" s="243" t="s">
        <v>239</v>
      </c>
      <c r="B16" s="361">
        <v>3298183374</v>
      </c>
      <c r="D16" s="319">
        <f t="shared" si="0"/>
        <v>3298183374</v>
      </c>
      <c r="F16" s="236" t="s">
        <v>194</v>
      </c>
      <c r="G16" s="219">
        <v>35985090</v>
      </c>
    </row>
    <row r="17" spans="1:11" ht="15.5" x14ac:dyDescent="0.35">
      <c r="A17" s="243" t="s">
        <v>200</v>
      </c>
      <c r="B17" s="361">
        <v>166772038</v>
      </c>
      <c r="C17" s="315">
        <v>62676376</v>
      </c>
      <c r="D17" s="319">
        <f t="shared" si="0"/>
        <v>229448414</v>
      </c>
      <c r="F17" s="243" t="s">
        <v>40</v>
      </c>
      <c r="G17" s="219">
        <v>8432000</v>
      </c>
    </row>
    <row r="18" spans="1:11" ht="15.5" x14ac:dyDescent="0.35">
      <c r="A18" s="243" t="s">
        <v>289</v>
      </c>
      <c r="B18" s="361">
        <v>6659800</v>
      </c>
      <c r="D18" s="319">
        <f t="shared" si="0"/>
        <v>6659800</v>
      </c>
      <c r="F18" s="243" t="s">
        <v>195</v>
      </c>
      <c r="G18" s="219">
        <v>15515000</v>
      </c>
    </row>
    <row r="19" spans="1:11" ht="15.5" x14ac:dyDescent="0.35">
      <c r="A19" s="243"/>
      <c r="D19" s="319">
        <f t="shared" si="0"/>
        <v>0</v>
      </c>
      <c r="F19" s="236"/>
      <c r="G19" s="219"/>
    </row>
    <row r="20" spans="1:11" ht="31" x14ac:dyDescent="0.35">
      <c r="A20" s="265" t="s">
        <v>193</v>
      </c>
      <c r="D20" s="319">
        <f t="shared" si="0"/>
        <v>0</v>
      </c>
      <c r="F20" s="235" t="s">
        <v>282</v>
      </c>
      <c r="G20" s="231">
        <f>G21</f>
        <v>7770000</v>
      </c>
      <c r="K20" s="263">
        <v>48390000</v>
      </c>
    </row>
    <row r="21" spans="1:11" ht="15.5" x14ac:dyDescent="0.35">
      <c r="A21" s="243" t="s">
        <v>42</v>
      </c>
      <c r="B21" s="362">
        <v>1457600</v>
      </c>
      <c r="C21" s="219">
        <v>3402705</v>
      </c>
      <c r="D21" s="319">
        <f t="shared" si="0"/>
        <v>4860305</v>
      </c>
      <c r="F21" s="243" t="s">
        <v>284</v>
      </c>
      <c r="G21" s="318">
        <v>7770000</v>
      </c>
      <c r="K21" s="263"/>
    </row>
    <row r="22" spans="1:11" ht="15.5" x14ac:dyDescent="0.35">
      <c r="A22" s="236" t="s">
        <v>194</v>
      </c>
      <c r="B22" s="362">
        <v>25491900</v>
      </c>
      <c r="C22" s="219">
        <v>35985090</v>
      </c>
      <c r="D22" s="319">
        <f t="shared" si="0"/>
        <v>61476990</v>
      </c>
      <c r="F22" s="243"/>
      <c r="G22" s="219"/>
      <c r="K22" s="263">
        <v>650512796</v>
      </c>
    </row>
    <row r="23" spans="1:11" ht="31" x14ac:dyDescent="0.35">
      <c r="A23" s="243" t="s">
        <v>40</v>
      </c>
      <c r="B23" s="362">
        <v>8025000</v>
      </c>
      <c r="C23" s="219">
        <v>8432000</v>
      </c>
      <c r="D23" s="319">
        <f t="shared" si="0"/>
        <v>16457000</v>
      </c>
      <c r="F23" s="235" t="s">
        <v>201</v>
      </c>
      <c r="G23" s="231">
        <f>SUM(G24:G24)</f>
        <v>44720515</v>
      </c>
    </row>
    <row r="24" spans="1:11" ht="15.5" x14ac:dyDescent="0.35">
      <c r="A24" s="243" t="s">
        <v>195</v>
      </c>
      <c r="B24" s="362">
        <v>68566158</v>
      </c>
      <c r="C24" s="219">
        <v>15515000</v>
      </c>
      <c r="D24" s="319">
        <f t="shared" si="0"/>
        <v>84081158</v>
      </c>
      <c r="F24" s="243" t="s">
        <v>202</v>
      </c>
      <c r="G24" s="313">
        <v>44720515</v>
      </c>
    </row>
    <row r="25" spans="1:11" ht="15.5" x14ac:dyDescent="0.35">
      <c r="A25" s="236"/>
      <c r="D25" s="319">
        <f t="shared" si="0"/>
        <v>0</v>
      </c>
      <c r="F25" s="243"/>
      <c r="G25" s="219"/>
    </row>
    <row r="26" spans="1:11" ht="31" x14ac:dyDescent="0.35">
      <c r="A26" s="235" t="s">
        <v>282</v>
      </c>
      <c r="D26" s="319">
        <f t="shared" si="0"/>
        <v>0</v>
      </c>
      <c r="F26" s="235" t="s">
        <v>203</v>
      </c>
      <c r="G26" s="231">
        <f>SUM(G27:G28)</f>
        <v>22193420</v>
      </c>
    </row>
    <row r="27" spans="1:11" ht="15.5" x14ac:dyDescent="0.35">
      <c r="A27" s="243" t="s">
        <v>284</v>
      </c>
      <c r="C27" s="318">
        <v>7770000</v>
      </c>
      <c r="D27" s="319">
        <f t="shared" si="0"/>
        <v>7770000</v>
      </c>
      <c r="F27" s="243" t="s">
        <v>311</v>
      </c>
      <c r="G27" s="314">
        <v>5630000</v>
      </c>
    </row>
    <row r="28" spans="1:11" ht="31" x14ac:dyDescent="0.35">
      <c r="A28" s="243"/>
      <c r="D28" s="319">
        <f t="shared" si="0"/>
        <v>0</v>
      </c>
      <c r="F28" s="243" t="s">
        <v>315</v>
      </c>
      <c r="G28" s="314">
        <v>16563420</v>
      </c>
    </row>
    <row r="29" spans="1:11" ht="31" x14ac:dyDescent="0.35">
      <c r="A29" s="235" t="s">
        <v>201</v>
      </c>
      <c r="D29" s="319">
        <f t="shared" si="0"/>
        <v>0</v>
      </c>
      <c r="F29" s="243"/>
      <c r="G29" s="219"/>
    </row>
    <row r="30" spans="1:11" ht="31" x14ac:dyDescent="0.35">
      <c r="A30" s="243" t="s">
        <v>291</v>
      </c>
      <c r="B30" s="362">
        <v>1812600</v>
      </c>
      <c r="D30" s="319">
        <f t="shared" si="0"/>
        <v>1812600</v>
      </c>
      <c r="F30" s="234" t="s">
        <v>264</v>
      </c>
      <c r="G30" s="227">
        <f>G31</f>
        <v>62100000</v>
      </c>
    </row>
    <row r="31" spans="1:11" ht="46.5" x14ac:dyDescent="0.35">
      <c r="A31" s="243" t="s">
        <v>202</v>
      </c>
      <c r="B31" s="361">
        <v>32735643</v>
      </c>
      <c r="C31" s="313">
        <v>44720515</v>
      </c>
      <c r="D31" s="319">
        <f t="shared" si="0"/>
        <v>77456158</v>
      </c>
      <c r="F31" s="235" t="s">
        <v>205</v>
      </c>
      <c r="G31" s="231">
        <f>SUM(G32:G32)</f>
        <v>62100000</v>
      </c>
    </row>
    <row r="32" spans="1:11" ht="31" x14ac:dyDescent="0.35">
      <c r="A32" s="243"/>
      <c r="D32" s="319">
        <f t="shared" si="0"/>
        <v>0</v>
      </c>
      <c r="F32" s="236" t="s">
        <v>310</v>
      </c>
      <c r="G32" s="314">
        <v>62100000</v>
      </c>
    </row>
    <row r="33" spans="1:11" ht="31" x14ac:dyDescent="0.35">
      <c r="A33" s="235" t="s">
        <v>203</v>
      </c>
      <c r="D33" s="319">
        <f t="shared" si="0"/>
        <v>0</v>
      </c>
      <c r="F33" s="236"/>
      <c r="G33" s="219"/>
    </row>
    <row r="34" spans="1:11" ht="31" x14ac:dyDescent="0.35">
      <c r="A34" s="243" t="s">
        <v>311</v>
      </c>
      <c r="C34" s="314">
        <v>5630000</v>
      </c>
      <c r="D34" s="319">
        <f t="shared" si="0"/>
        <v>5630000</v>
      </c>
      <c r="F34" s="234" t="s">
        <v>266</v>
      </c>
      <c r="G34" s="227">
        <f>SUM(G37,G35,G40)</f>
        <v>618513131</v>
      </c>
    </row>
    <row r="35" spans="1:11" ht="15.5" x14ac:dyDescent="0.35">
      <c r="A35" s="243" t="s">
        <v>308</v>
      </c>
      <c r="B35" s="362">
        <v>87676200</v>
      </c>
      <c r="D35" s="319">
        <f t="shared" si="0"/>
        <v>87676200</v>
      </c>
      <c r="F35" s="235" t="s">
        <v>209</v>
      </c>
      <c r="G35" s="231">
        <f>SUM(G36)</f>
        <v>43730000</v>
      </c>
    </row>
    <row r="36" spans="1:11" ht="31" x14ac:dyDescent="0.35">
      <c r="A36" s="243" t="s">
        <v>285</v>
      </c>
      <c r="B36" s="362">
        <v>1220000</v>
      </c>
      <c r="C36" s="314">
        <v>16563420</v>
      </c>
      <c r="D36" s="319">
        <f t="shared" si="0"/>
        <v>17783420</v>
      </c>
      <c r="F36" s="236" t="s">
        <v>278</v>
      </c>
      <c r="G36" s="314">
        <v>43730000</v>
      </c>
    </row>
    <row r="37" spans="1:11" ht="15.5" x14ac:dyDescent="0.35">
      <c r="A37" s="243"/>
      <c r="D37" s="319">
        <f t="shared" si="0"/>
        <v>0</v>
      </c>
      <c r="F37" s="235" t="s">
        <v>276</v>
      </c>
      <c r="G37" s="231">
        <f>SUM(G38:G39)</f>
        <v>555833131</v>
      </c>
    </row>
    <row r="38" spans="1:11" ht="31" x14ac:dyDescent="0.35">
      <c r="A38" s="234" t="s">
        <v>264</v>
      </c>
      <c r="D38" s="319">
        <f t="shared" si="0"/>
        <v>0</v>
      </c>
      <c r="F38" s="236" t="s">
        <v>280</v>
      </c>
      <c r="G38" s="318">
        <v>545273131</v>
      </c>
    </row>
    <row r="39" spans="1:11" ht="46.5" x14ac:dyDescent="0.35">
      <c r="A39" s="235" t="s">
        <v>205</v>
      </c>
      <c r="D39" s="319">
        <f t="shared" si="0"/>
        <v>0</v>
      </c>
      <c r="F39" s="236" t="s">
        <v>294</v>
      </c>
      <c r="G39" s="219">
        <v>10560000</v>
      </c>
    </row>
    <row r="40" spans="1:11" ht="31" x14ac:dyDescent="0.35">
      <c r="A40" s="236" t="s">
        <v>206</v>
      </c>
      <c r="B40" s="363">
        <v>132030000</v>
      </c>
      <c r="D40" s="319">
        <f t="shared" si="0"/>
        <v>132030000</v>
      </c>
      <c r="F40" s="235" t="s">
        <v>323</v>
      </c>
      <c r="G40" s="231">
        <f>SUM(G41:G42)</f>
        <v>18950000</v>
      </c>
    </row>
    <row r="41" spans="1:11" ht="31" x14ac:dyDescent="0.35">
      <c r="A41" s="236" t="s">
        <v>310</v>
      </c>
      <c r="C41" s="314">
        <v>62100000</v>
      </c>
      <c r="D41" s="319">
        <f t="shared" si="0"/>
        <v>62100000</v>
      </c>
      <c r="F41" s="236" t="s">
        <v>326</v>
      </c>
      <c r="G41" s="219">
        <v>6750000</v>
      </c>
    </row>
    <row r="42" spans="1:11" ht="46.5" x14ac:dyDescent="0.35">
      <c r="A42" s="236"/>
      <c r="D42" s="319">
        <f t="shared" si="0"/>
        <v>0</v>
      </c>
      <c r="F42" s="236" t="s">
        <v>327</v>
      </c>
      <c r="G42" s="219">
        <v>12200000</v>
      </c>
    </row>
    <row r="43" spans="1:11" ht="31" x14ac:dyDescent="0.35">
      <c r="A43" s="235" t="s">
        <v>207</v>
      </c>
      <c r="D43" s="319">
        <f t="shared" si="0"/>
        <v>0</v>
      </c>
      <c r="F43" s="236"/>
      <c r="G43" s="219"/>
    </row>
    <row r="44" spans="1:11" ht="31" x14ac:dyDescent="0.35">
      <c r="A44" s="236" t="s">
        <v>208</v>
      </c>
      <c r="B44" s="219">
        <v>132090000</v>
      </c>
      <c r="D44" s="319">
        <f t="shared" si="0"/>
        <v>132090000</v>
      </c>
      <c r="F44" s="234" t="s">
        <v>272</v>
      </c>
      <c r="G44" s="227">
        <f>SUM(G45)</f>
        <v>14989000</v>
      </c>
    </row>
    <row r="45" spans="1:11" ht="46.5" x14ac:dyDescent="0.35">
      <c r="A45" s="236"/>
      <c r="D45" s="319">
        <f t="shared" si="0"/>
        <v>0</v>
      </c>
      <c r="F45" s="235" t="s">
        <v>320</v>
      </c>
      <c r="G45" s="231">
        <f>SUM(G46)</f>
        <v>14989000</v>
      </c>
    </row>
    <row r="46" spans="1:11" ht="31" x14ac:dyDescent="0.35">
      <c r="A46" s="234" t="s">
        <v>266</v>
      </c>
      <c r="D46" s="319">
        <f t="shared" si="0"/>
        <v>0</v>
      </c>
      <c r="F46" s="236" t="s">
        <v>220</v>
      </c>
      <c r="G46" s="219">
        <v>14989000</v>
      </c>
    </row>
    <row r="47" spans="1:11" ht="15.5" x14ac:dyDescent="0.35">
      <c r="A47" s="235" t="s">
        <v>209</v>
      </c>
      <c r="D47" s="319">
        <f t="shared" si="0"/>
        <v>0</v>
      </c>
      <c r="F47"/>
      <c r="G47" s="237">
        <f>G10+G30+G34+G44</f>
        <v>896297237</v>
      </c>
    </row>
    <row r="48" spans="1:11" ht="31" x14ac:dyDescent="0.35">
      <c r="A48" s="236" t="s">
        <v>210</v>
      </c>
      <c r="B48" s="219">
        <v>19774000</v>
      </c>
      <c r="C48" s="314">
        <v>48390000</v>
      </c>
      <c r="D48" s="319">
        <f t="shared" si="0"/>
        <v>68164000</v>
      </c>
      <c r="F48" s="272"/>
      <c r="G48" s="274"/>
      <c r="K48" s="263">
        <v>48390000</v>
      </c>
    </row>
    <row r="49" spans="1:11" ht="31" x14ac:dyDescent="0.35">
      <c r="A49" s="236" t="s">
        <v>211</v>
      </c>
      <c r="B49" s="219">
        <v>88364000</v>
      </c>
      <c r="D49" s="319">
        <f t="shared" si="0"/>
        <v>88364000</v>
      </c>
      <c r="F49" s="272"/>
      <c r="G49" s="278"/>
      <c r="K49" s="263"/>
    </row>
    <row r="50" spans="1:11" ht="15.5" x14ac:dyDescent="0.35">
      <c r="A50" s="236"/>
      <c r="D50" s="319">
        <f t="shared" si="0"/>
        <v>0</v>
      </c>
      <c r="F50" s="272"/>
      <c r="G50" s="278"/>
      <c r="K50" s="263">
        <v>650512796</v>
      </c>
    </row>
    <row r="51" spans="1:11" ht="15.5" x14ac:dyDescent="0.35">
      <c r="A51" s="235" t="s">
        <v>276</v>
      </c>
      <c r="D51" s="319">
        <f t="shared" si="0"/>
        <v>0</v>
      </c>
      <c r="F51" s="272"/>
      <c r="G51" s="289"/>
    </row>
    <row r="52" spans="1:11" ht="15.5" x14ac:dyDescent="0.35">
      <c r="A52" s="236" t="s">
        <v>280</v>
      </c>
      <c r="C52" s="318">
        <v>650512796</v>
      </c>
      <c r="D52" s="319">
        <f t="shared" si="0"/>
        <v>650512796</v>
      </c>
      <c r="F52" s="272"/>
      <c r="G52" s="289"/>
    </row>
    <row r="53" spans="1:11" ht="15.5" x14ac:dyDescent="0.35">
      <c r="A53" s="236" t="s">
        <v>294</v>
      </c>
      <c r="C53" s="219">
        <v>10560000</v>
      </c>
      <c r="D53" s="319">
        <f t="shared" si="0"/>
        <v>10560000</v>
      </c>
      <c r="F53" s="272"/>
      <c r="G53" s="289"/>
    </row>
    <row r="54" spans="1:11" ht="15.5" x14ac:dyDescent="0.35">
      <c r="A54" s="236"/>
      <c r="D54" s="319">
        <f t="shared" si="0"/>
        <v>0</v>
      </c>
      <c r="F54" s="278"/>
      <c r="G54" s="278"/>
    </row>
    <row r="55" spans="1:11" ht="31" x14ac:dyDescent="0.35">
      <c r="A55" s="235" t="s">
        <v>323</v>
      </c>
      <c r="D55" s="319">
        <f t="shared" si="0"/>
        <v>0</v>
      </c>
      <c r="F55" s="284"/>
      <c r="G55" s="287"/>
    </row>
    <row r="56" spans="1:11" ht="31" x14ac:dyDescent="0.35">
      <c r="A56" s="236" t="s">
        <v>326</v>
      </c>
      <c r="C56" s="219">
        <v>6750000</v>
      </c>
      <c r="D56" s="319">
        <f t="shared" si="0"/>
        <v>6750000</v>
      </c>
    </row>
    <row r="57" spans="1:11" ht="31" x14ac:dyDescent="0.35">
      <c r="A57" s="236" t="s">
        <v>327</v>
      </c>
      <c r="C57" s="219">
        <v>12200000</v>
      </c>
      <c r="D57" s="319">
        <f t="shared" si="0"/>
        <v>12200000</v>
      </c>
    </row>
    <row r="58" spans="1:11" ht="15.5" x14ac:dyDescent="0.35">
      <c r="A58" s="236"/>
      <c r="D58" s="319">
        <f t="shared" si="0"/>
        <v>0</v>
      </c>
    </row>
    <row r="59" spans="1:11" ht="15.5" x14ac:dyDescent="0.35">
      <c r="A59" s="234" t="s">
        <v>268</v>
      </c>
      <c r="D59" s="319">
        <f t="shared" si="0"/>
        <v>0</v>
      </c>
    </row>
    <row r="60" spans="1:11" ht="31" x14ac:dyDescent="0.35">
      <c r="A60" s="235" t="s">
        <v>212</v>
      </c>
      <c r="D60" s="319">
        <f t="shared" si="0"/>
        <v>0</v>
      </c>
    </row>
    <row r="61" spans="1:11" ht="31" x14ac:dyDescent="0.35">
      <c r="A61" s="236" t="s">
        <v>286</v>
      </c>
      <c r="B61" s="364">
        <v>8628000</v>
      </c>
      <c r="D61" s="319">
        <f t="shared" si="0"/>
        <v>8628000</v>
      </c>
    </row>
    <row r="62" spans="1:11" ht="15.5" x14ac:dyDescent="0.35">
      <c r="A62" s="236" t="s">
        <v>213</v>
      </c>
      <c r="B62" s="364">
        <v>11200000</v>
      </c>
      <c r="D62" s="319">
        <f t="shared" si="0"/>
        <v>11200000</v>
      </c>
    </row>
    <row r="63" spans="1:11" ht="15.5" x14ac:dyDescent="0.35">
      <c r="A63" s="236"/>
      <c r="D63" s="319">
        <f t="shared" si="0"/>
        <v>0</v>
      </c>
    </row>
    <row r="64" spans="1:11" ht="31" x14ac:dyDescent="0.35">
      <c r="A64" s="235" t="s">
        <v>214</v>
      </c>
      <c r="D64" s="319">
        <f t="shared" si="0"/>
        <v>0</v>
      </c>
    </row>
    <row r="65" spans="1:4" ht="46.5" x14ac:dyDescent="0.35">
      <c r="A65" s="236" t="s">
        <v>215</v>
      </c>
      <c r="B65" s="365">
        <v>171890000</v>
      </c>
      <c r="D65" s="319">
        <f t="shared" si="0"/>
        <v>171890000</v>
      </c>
    </row>
    <row r="66" spans="1:4" ht="15.5" x14ac:dyDescent="0.35">
      <c r="A66" s="236"/>
      <c r="D66" s="319">
        <f t="shared" si="0"/>
        <v>0</v>
      </c>
    </row>
    <row r="67" spans="1:4" ht="15.5" x14ac:dyDescent="0.35">
      <c r="A67" s="234" t="s">
        <v>270</v>
      </c>
      <c r="D67" s="319">
        <f t="shared" si="0"/>
        <v>0</v>
      </c>
    </row>
    <row r="68" spans="1:4" ht="31" x14ac:dyDescent="0.35">
      <c r="A68" s="235" t="s">
        <v>253</v>
      </c>
      <c r="D68" s="319">
        <f t="shared" si="0"/>
        <v>0</v>
      </c>
    </row>
    <row r="69" spans="1:4" ht="77.5" x14ac:dyDescent="0.35">
      <c r="A69" s="236" t="s">
        <v>216</v>
      </c>
      <c r="B69" s="219">
        <v>12600000</v>
      </c>
      <c r="D69" s="319">
        <f t="shared" si="0"/>
        <v>12600000</v>
      </c>
    </row>
    <row r="70" spans="1:4" ht="63" customHeight="1" x14ac:dyDescent="0.35">
      <c r="A70" s="236" t="s">
        <v>217</v>
      </c>
      <c r="B70" s="219">
        <v>0</v>
      </c>
      <c r="D70" s="319">
        <f t="shared" si="0"/>
        <v>0</v>
      </c>
    </row>
    <row r="71" spans="1:4" ht="31" x14ac:dyDescent="0.35">
      <c r="A71" s="236" t="s">
        <v>218</v>
      </c>
      <c r="B71" s="219">
        <v>3600000</v>
      </c>
      <c r="D71" s="319">
        <f t="shared" si="0"/>
        <v>3600000</v>
      </c>
    </row>
    <row r="72" spans="1:4" ht="15.5" x14ac:dyDescent="0.35">
      <c r="A72" s="236"/>
      <c r="D72" s="319">
        <f t="shared" si="0"/>
        <v>0</v>
      </c>
    </row>
    <row r="73" spans="1:4" ht="15.5" x14ac:dyDescent="0.35">
      <c r="A73" s="234" t="s">
        <v>272</v>
      </c>
      <c r="D73" s="319">
        <f t="shared" si="0"/>
        <v>0</v>
      </c>
    </row>
    <row r="74" spans="1:4" ht="31" x14ac:dyDescent="0.35">
      <c r="A74" s="235" t="s">
        <v>219</v>
      </c>
      <c r="D74" s="319">
        <f t="shared" si="0"/>
        <v>0</v>
      </c>
    </row>
    <row r="75" spans="1:4" ht="15.5" x14ac:dyDescent="0.35">
      <c r="A75" s="236" t="s">
        <v>312</v>
      </c>
      <c r="D75" s="319">
        <f t="shared" si="0"/>
        <v>0</v>
      </c>
    </row>
    <row r="76" spans="1:4" ht="15.5" x14ac:dyDescent="0.35">
      <c r="A76" s="236" t="s">
        <v>220</v>
      </c>
      <c r="C76" s="219">
        <v>14989000</v>
      </c>
      <c r="D76" s="319">
        <f t="shared" si="0"/>
        <v>14989000</v>
      </c>
    </row>
    <row r="77" spans="1:4" ht="15.5" x14ac:dyDescent="0.35">
      <c r="A77" s="236" t="s">
        <v>221</v>
      </c>
      <c r="B77" s="219">
        <v>85500000</v>
      </c>
      <c r="D77" s="319">
        <f t="shared" ref="D77:D79" si="1">B77+C77</f>
        <v>85500000</v>
      </c>
    </row>
    <row r="78" spans="1:4" ht="15.5" x14ac:dyDescent="0.35">
      <c r="A78" s="236" t="s">
        <v>313</v>
      </c>
      <c r="D78" s="319">
        <f t="shared" si="1"/>
        <v>0</v>
      </c>
    </row>
    <row r="79" spans="1:4" ht="31" x14ac:dyDescent="0.35">
      <c r="A79" s="236" t="s">
        <v>222</v>
      </c>
      <c r="B79" s="219">
        <v>10225985</v>
      </c>
      <c r="D79" s="319">
        <f t="shared" si="1"/>
        <v>10225985</v>
      </c>
    </row>
    <row r="80" spans="1:4" ht="15.5" x14ac:dyDescent="0.35">
      <c r="A80" s="236"/>
    </row>
    <row r="81" spans="1:4" x14ac:dyDescent="0.35">
      <c r="A81"/>
      <c r="B81" s="319">
        <f>SUM(B12:B80)</f>
        <v>4396428898</v>
      </c>
      <c r="C81" s="319">
        <f>SUM(C12:C80)</f>
        <v>1006196902</v>
      </c>
      <c r="D81" s="319">
        <f>SUM(D12:D80)</f>
        <v>5402625800</v>
      </c>
    </row>
    <row r="82" spans="1:4" ht="15.5" x14ac:dyDescent="0.35">
      <c r="A82" s="272"/>
    </row>
    <row r="83" spans="1:4" ht="15.5" x14ac:dyDescent="0.35">
      <c r="A83" s="272"/>
      <c r="B83" s="319"/>
      <c r="D83" s="319">
        <v>5402625800</v>
      </c>
    </row>
    <row r="84" spans="1:4" ht="15.5" x14ac:dyDescent="0.35">
      <c r="A84" s="272"/>
    </row>
    <row r="85" spans="1:4" ht="15.5" x14ac:dyDescent="0.35">
      <c r="A85" s="272"/>
      <c r="D85" s="319">
        <f>D83-D81</f>
        <v>0</v>
      </c>
    </row>
    <row r="86" spans="1:4" ht="15.5" x14ac:dyDescent="0.35">
      <c r="A86" s="272"/>
    </row>
    <row r="87" spans="1:4" ht="15.5" x14ac:dyDescent="0.35">
      <c r="A87" s="272"/>
    </row>
    <row r="88" spans="1:4" x14ac:dyDescent="0.35">
      <c r="A88" s="278"/>
    </row>
    <row r="89" spans="1:4" ht="15.5" x14ac:dyDescent="0.35">
      <c r="A89" s="284"/>
    </row>
    <row r="90" spans="1:4" ht="15.5" x14ac:dyDescent="0.35">
      <c r="A90" s="164"/>
    </row>
  </sheetData>
  <protectedRanges>
    <protectedRange sqref="B61:B62 B65 B69:B71 B77 B79 B12:B13 B18 B22:B24 B35:B36 B40 B44 B48:B49" name="Range1_3"/>
    <protectedRange sqref="B21" name="Range1_2_1"/>
    <protectedRange sqref="B16" name="Range1_3_1"/>
    <protectedRange sqref="G15 C21" name="Range1_2_3"/>
    <protectedRange sqref="G34:G46 C48 C52:C53 C56:C57 C76" name="Range1_3_2"/>
  </protectedRange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Februari</vt:lpstr>
      <vt:lpstr>Maret</vt:lpstr>
      <vt:lpstr>April</vt:lpstr>
      <vt:lpstr>Sheet2</vt:lpstr>
      <vt:lpstr>Rincian Kec.</vt:lpstr>
      <vt:lpstr>Rincian Kel.</vt:lpstr>
      <vt:lpstr>Gabungan</vt:lpstr>
      <vt:lpstr>Rekap</vt:lpstr>
      <vt:lpstr>Sheet1</vt:lpstr>
      <vt:lpstr>Sheet3</vt:lpstr>
      <vt:lpstr>Sheet4</vt:lpstr>
      <vt:lpstr>April!Print_Area</vt:lpstr>
      <vt:lpstr>Februari!Print_Area</vt:lpstr>
      <vt:lpstr>Gabungan!Print_Area</vt:lpstr>
      <vt:lpstr>Maret!Print_Area</vt:lpstr>
      <vt:lpstr>'Rincian Kec.'!Print_Area</vt:lpstr>
      <vt:lpstr>'Rincian Kel.'!Print_Area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2023-10-03T09:35:38Z</dcterms:modified>
</cp:coreProperties>
</file>