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05AC981F-305F-49F6-8734-9DB6BCB25762}" xr6:coauthVersionLast="47" xr6:coauthVersionMax="47" xr10:uidLastSave="{00000000-0000-0000-0000-000000000000}"/>
  <bookViews>
    <workbookView xWindow="-110" yWindow="-110" windowWidth="19420" windowHeight="10300" firstSheet="4" activeTab="4" xr2:uid="{00000000-000D-0000-FFFF-FFFF00000000}"/>
  </bookViews>
  <sheets>
    <sheet name="Februari" sheetId="1" state="hidden" r:id="rId1"/>
    <sheet name="Maret" sheetId="4" state="hidden" r:id="rId2"/>
    <sheet name="April" sheetId="5" state="hidden" r:id="rId3"/>
    <sheet name="Sheet2" sheetId="2" state="hidden" r:id="rId4"/>
    <sheet name="Rincian Kec." sheetId="57" r:id="rId5"/>
    <sheet name="Rincian Kel." sheetId="66" r:id="rId6"/>
    <sheet name="Gabungan" sheetId="67" r:id="rId7"/>
    <sheet name="Rekap" sheetId="68" r:id="rId8"/>
    <sheet name="Sheet1" sheetId="69" r:id="rId9"/>
  </sheets>
  <definedNames>
    <definedName name="_xlnm.Print_Area" localSheetId="2">April!$A$1:$N$94</definedName>
    <definedName name="_xlnm.Print_Area" localSheetId="0">Februari!$A$1:$N$94</definedName>
    <definedName name="_xlnm.Print_Area" localSheetId="6">Gabungan!$A$1:$M$89</definedName>
    <definedName name="_xlnm.Print_Area" localSheetId="1">Maret!$A$1:$N$94</definedName>
    <definedName name="_xlnm.Print_Area" localSheetId="4">'Rincian Kec.'!$A$1:$M$78</definedName>
    <definedName name="_xlnm.Print_Area" localSheetId="5">'Rincian Kel.'!$A$1:$M$55</definedName>
  </definedNames>
  <calcPr calcId="191029"/>
</workbook>
</file>

<file path=xl/calcChain.xml><?xml version="1.0" encoding="utf-8"?>
<calcChain xmlns="http://schemas.openxmlformats.org/spreadsheetml/2006/main">
  <c r="H17" i="66" l="1"/>
  <c r="R47" i="57"/>
  <c r="P47" i="57"/>
  <c r="H38" i="66" l="1"/>
  <c r="H46" i="66"/>
  <c r="H18" i="66"/>
  <c r="H12" i="66"/>
  <c r="H24" i="66"/>
  <c r="H36" i="66"/>
  <c r="H32" i="66"/>
  <c r="S17" i="57"/>
  <c r="U17" i="57" s="1"/>
  <c r="R17" i="57"/>
  <c r="P17" i="57"/>
  <c r="V55" i="57"/>
  <c r="U12" i="57"/>
  <c r="U13" i="57"/>
  <c r="U14" i="57"/>
  <c r="U15" i="57"/>
  <c r="U18" i="57"/>
  <c r="U19" i="57"/>
  <c r="U20" i="57"/>
  <c r="U21" i="57"/>
  <c r="U22" i="57"/>
  <c r="U23" i="57"/>
  <c r="U24" i="57"/>
  <c r="U25" i="57"/>
  <c r="U26" i="57"/>
  <c r="U27" i="57"/>
  <c r="U28" i="57"/>
  <c r="U29" i="57"/>
  <c r="U30" i="57"/>
  <c r="U31" i="57"/>
  <c r="U32" i="57"/>
  <c r="U33" i="57"/>
  <c r="U34" i="57"/>
  <c r="U35" i="57"/>
  <c r="W35" i="57" s="1"/>
  <c r="U36" i="57"/>
  <c r="W36" i="57" s="1"/>
  <c r="U37" i="57"/>
  <c r="U38" i="57"/>
  <c r="U39" i="57"/>
  <c r="U40" i="57"/>
  <c r="U41" i="57"/>
  <c r="U42" i="57"/>
  <c r="U43" i="57"/>
  <c r="U44" i="57"/>
  <c r="W44" i="57" s="1"/>
  <c r="U45" i="57"/>
  <c r="U46" i="57"/>
  <c r="U47" i="57"/>
  <c r="U48" i="57"/>
  <c r="U49" i="57"/>
  <c r="U50" i="57"/>
  <c r="U51" i="57"/>
  <c r="U52" i="57"/>
  <c r="U53" i="57"/>
  <c r="U54" i="57"/>
  <c r="U55" i="57"/>
  <c r="U56" i="57"/>
  <c r="U57" i="57"/>
  <c r="U58" i="57"/>
  <c r="U59" i="57"/>
  <c r="U60" i="57"/>
  <c r="U61" i="57"/>
  <c r="U62" i="57"/>
  <c r="U63" i="57"/>
  <c r="U64" i="57"/>
  <c r="U65" i="57"/>
  <c r="U66" i="57"/>
  <c r="U67" i="57"/>
  <c r="U68" i="57"/>
  <c r="U69" i="57"/>
  <c r="W39" i="57"/>
  <c r="S16" i="57"/>
  <c r="U16" i="57" s="1"/>
  <c r="R55" i="57"/>
  <c r="V12" i="57"/>
  <c r="V13" i="57"/>
  <c r="V14" i="57"/>
  <c r="W14" i="57" s="1"/>
  <c r="V15" i="57"/>
  <c r="W15" i="57" s="1"/>
  <c r="V16" i="57"/>
  <c r="V18" i="57"/>
  <c r="W18" i="57" s="1"/>
  <c r="V19" i="57"/>
  <c r="V20" i="57"/>
  <c r="V21" i="57"/>
  <c r="V25" i="57"/>
  <c r="V26" i="57"/>
  <c r="W26" i="57" s="1"/>
  <c r="V27" i="57"/>
  <c r="V28" i="57"/>
  <c r="V29" i="57"/>
  <c r="V30" i="57"/>
  <c r="W30" i="57" s="1"/>
  <c r="V32" i="57"/>
  <c r="V33" i="57"/>
  <c r="V34" i="57"/>
  <c r="V35" i="57"/>
  <c r="V36" i="57"/>
  <c r="V37" i="57"/>
  <c r="V38" i="57"/>
  <c r="W38" i="57" s="1"/>
  <c r="V39" i="57"/>
  <c r="V40" i="57"/>
  <c r="W40" i="57" s="1"/>
  <c r="V41" i="57"/>
  <c r="W41" i="57" s="1"/>
  <c r="V42" i="57"/>
  <c r="V43" i="57"/>
  <c r="V44" i="57"/>
  <c r="V45" i="57"/>
  <c r="W45" i="57" s="1"/>
  <c r="V46" i="57"/>
  <c r="V48" i="57"/>
  <c r="V49" i="57"/>
  <c r="V50" i="57"/>
  <c r="W50" i="57" s="1"/>
  <c r="V51" i="57"/>
  <c r="W51" i="57" s="1"/>
  <c r="V52" i="57"/>
  <c r="V53" i="57"/>
  <c r="V54" i="57"/>
  <c r="W54" i="57" s="1"/>
  <c r="V56" i="57"/>
  <c r="V57" i="57"/>
  <c r="W57" i="57" s="1"/>
  <c r="V58" i="57"/>
  <c r="W58" i="57" s="1"/>
  <c r="V59" i="57"/>
  <c r="V60" i="57"/>
  <c r="V61" i="57"/>
  <c r="W61" i="57" s="1"/>
  <c r="V62" i="57"/>
  <c r="W62" i="57" s="1"/>
  <c r="V63" i="57"/>
  <c r="W63" i="57" s="1"/>
  <c r="V64" i="57"/>
  <c r="V65" i="57"/>
  <c r="W65" i="57" s="1"/>
  <c r="V66" i="57"/>
  <c r="W66" i="57" s="1"/>
  <c r="V67" i="57"/>
  <c r="V68" i="57"/>
  <c r="V69" i="57"/>
  <c r="W69" i="57" s="1"/>
  <c r="Q70" i="57"/>
  <c r="P24" i="57"/>
  <c r="P23" i="57"/>
  <c r="V23" i="57" s="1"/>
  <c r="P31" i="57"/>
  <c r="P22" i="57"/>
  <c r="V22" i="57" s="1"/>
  <c r="W22" i="57" s="1"/>
  <c r="R24" i="57"/>
  <c r="R31" i="57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C80" i="69"/>
  <c r="B60" i="69"/>
  <c r="B59" i="69" s="1"/>
  <c r="D59" i="69" s="1"/>
  <c r="B26" i="69"/>
  <c r="B24" i="69"/>
  <c r="B17" i="69"/>
  <c r="B16" i="69"/>
  <c r="D16" i="69" s="1"/>
  <c r="B11" i="69"/>
  <c r="B10" i="69" s="1"/>
  <c r="R70" i="57" l="1"/>
  <c r="V31" i="57"/>
  <c r="S70" i="57"/>
  <c r="V24" i="57"/>
  <c r="W53" i="57"/>
  <c r="W46" i="57"/>
  <c r="W59" i="57"/>
  <c r="W49" i="57"/>
  <c r="W37" i="57"/>
  <c r="W13" i="57"/>
  <c r="V17" i="57"/>
  <c r="W17" i="57" s="1"/>
  <c r="W67" i="57"/>
  <c r="U70" i="57"/>
  <c r="P70" i="57"/>
  <c r="W29" i="57"/>
  <c r="W25" i="57"/>
  <c r="W20" i="57"/>
  <c r="W68" i="57"/>
  <c r="W64" i="57"/>
  <c r="W60" i="57"/>
  <c r="W56" i="57"/>
  <c r="W52" i="57"/>
  <c r="W48" i="57"/>
  <c r="W16" i="57"/>
  <c r="W12" i="57"/>
  <c r="W21" i="57"/>
  <c r="W33" i="57"/>
  <c r="W31" i="57"/>
  <c r="W43" i="57"/>
  <c r="W32" i="57"/>
  <c r="W27" i="57"/>
  <c r="W24" i="57"/>
  <c r="W28" i="57"/>
  <c r="W23" i="57"/>
  <c r="W19" i="57"/>
  <c r="W42" i="57"/>
  <c r="W34" i="57"/>
  <c r="V47" i="57"/>
  <c r="W47" i="57" s="1"/>
  <c r="W55" i="57"/>
  <c r="B80" i="69"/>
  <c r="D80" i="69" s="1"/>
  <c r="W70" i="57" l="1"/>
  <c r="V70" i="57"/>
  <c r="H35" i="66"/>
  <c r="H14" i="66"/>
  <c r="D60" i="67" l="1"/>
  <c r="D76" i="67"/>
  <c r="D74" i="67" s="1"/>
  <c r="D36" i="67"/>
  <c r="F57" i="67"/>
  <c r="L57" i="67" s="1"/>
  <c r="F56" i="67"/>
  <c r="L56" i="67" s="1"/>
  <c r="H55" i="67"/>
  <c r="E55" i="67"/>
  <c r="D55" i="67"/>
  <c r="F53" i="67"/>
  <c r="I53" i="67" s="1"/>
  <c r="J53" i="67" s="1"/>
  <c r="F52" i="67"/>
  <c r="H51" i="67"/>
  <c r="D48" i="67"/>
  <c r="D31" i="67"/>
  <c r="D24" i="67"/>
  <c r="D23" i="67"/>
  <c r="D22" i="67"/>
  <c r="D21" i="67"/>
  <c r="D17" i="67"/>
  <c r="F62" i="67"/>
  <c r="I62" i="67" s="1"/>
  <c r="J62" i="67" s="1"/>
  <c r="H45" i="66"/>
  <c r="L53" i="67" l="1"/>
  <c r="I56" i="67"/>
  <c r="J56" i="67" s="1"/>
  <c r="I57" i="67"/>
  <c r="J57" i="67" s="1"/>
  <c r="F55" i="67"/>
  <c r="L55" i="67" s="1"/>
  <c r="F51" i="67"/>
  <c r="L51" i="67" s="1"/>
  <c r="L52" i="67"/>
  <c r="I52" i="67"/>
  <c r="J52" i="67" s="1"/>
  <c r="D51" i="67"/>
  <c r="L62" i="67"/>
  <c r="D40" i="66" l="1"/>
  <c r="F42" i="66"/>
  <c r="L42" i="66" s="1"/>
  <c r="F41" i="66"/>
  <c r="I41" i="66" s="1"/>
  <c r="J41" i="66" s="1"/>
  <c r="H40" i="66"/>
  <c r="E40" i="66"/>
  <c r="D35" i="66"/>
  <c r="F36" i="66"/>
  <c r="I36" i="66" s="1"/>
  <c r="J36" i="66" s="1"/>
  <c r="F38" i="66"/>
  <c r="I38" i="66" s="1"/>
  <c r="J38" i="66" s="1"/>
  <c r="F39" i="66"/>
  <c r="I39" i="66" s="1"/>
  <c r="J39" i="66" s="1"/>
  <c r="D37" i="66"/>
  <c r="D45" i="66"/>
  <c r="D44" i="66" s="1"/>
  <c r="F46" i="66"/>
  <c r="L46" i="66" s="1"/>
  <c r="D50" i="57"/>
  <c r="D15" i="57"/>
  <c r="N18" i="68"/>
  <c r="L18" i="68"/>
  <c r="H18" i="68"/>
  <c r="N17" i="68"/>
  <c r="L17" i="68"/>
  <c r="H17" i="68"/>
  <c r="H16" i="68"/>
  <c r="N16" i="68" s="1"/>
  <c r="J15" i="68"/>
  <c r="G15" i="68"/>
  <c r="F15" i="68"/>
  <c r="H13" i="68"/>
  <c r="N13" i="68" s="1"/>
  <c r="H12" i="68"/>
  <c r="N12" i="68" s="1"/>
  <c r="J11" i="68"/>
  <c r="G11" i="68"/>
  <c r="F11" i="68"/>
  <c r="F10" i="68" l="1"/>
  <c r="F19" i="68" s="1"/>
  <c r="I18" i="68" s="1"/>
  <c r="M18" i="68" s="1"/>
  <c r="G10" i="68"/>
  <c r="G19" i="68" s="1"/>
  <c r="L36" i="66"/>
  <c r="D34" i="66"/>
  <c r="L41" i="66"/>
  <c r="F45" i="66"/>
  <c r="F44" i="66" s="1"/>
  <c r="F35" i="66"/>
  <c r="J10" i="68"/>
  <c r="K13" i="68"/>
  <c r="L13" i="68" s="1"/>
  <c r="H11" i="68"/>
  <c r="N11" i="68" s="1"/>
  <c r="F40" i="66"/>
  <c r="L40" i="66" s="1"/>
  <c r="I42" i="66"/>
  <c r="J42" i="66" s="1"/>
  <c r="L39" i="66"/>
  <c r="L38" i="66"/>
  <c r="I46" i="66"/>
  <c r="J46" i="66" s="1"/>
  <c r="J19" i="68"/>
  <c r="K12" i="68"/>
  <c r="L12" i="68" s="1"/>
  <c r="H15" i="68"/>
  <c r="N15" i="68" s="1"/>
  <c r="K16" i="68"/>
  <c r="L16" i="68" s="1"/>
  <c r="I17" i="68" l="1"/>
  <c r="M17" i="68" s="1"/>
  <c r="K15" i="68"/>
  <c r="L15" i="68" s="1"/>
  <c r="H10" i="68"/>
  <c r="N10" i="68" l="1"/>
  <c r="N19" i="68" s="1"/>
  <c r="H19" i="68"/>
  <c r="I13" i="68" l="1"/>
  <c r="M13" i="68" s="1"/>
  <c r="I12" i="68"/>
  <c r="I16" i="68"/>
  <c r="K19" i="68"/>
  <c r="L19" i="68" s="1"/>
  <c r="I11" i="68" l="1"/>
  <c r="M12" i="68"/>
  <c r="I15" i="68"/>
  <c r="M16" i="68"/>
  <c r="I10" i="68" l="1"/>
  <c r="I19" i="68" s="1"/>
  <c r="M19" i="68" s="1"/>
  <c r="H26" i="66"/>
  <c r="H37" i="66" l="1"/>
  <c r="F47" i="57"/>
  <c r="L47" i="57" s="1"/>
  <c r="H34" i="66" l="1"/>
  <c r="H33" i="67"/>
  <c r="H68" i="67"/>
  <c r="H74" i="67"/>
  <c r="F30" i="67"/>
  <c r="F27" i="67"/>
  <c r="F26" i="67" s="1"/>
  <c r="F18" i="67"/>
  <c r="F34" i="67"/>
  <c r="F36" i="67"/>
  <c r="F35" i="67"/>
  <c r="F41" i="67"/>
  <c r="F40" i="67"/>
  <c r="F44" i="67"/>
  <c r="F49" i="67"/>
  <c r="F48" i="67"/>
  <c r="F61" i="67"/>
  <c r="F60" i="67" s="1"/>
  <c r="F65" i="67"/>
  <c r="F70" i="67"/>
  <c r="F71" i="67"/>
  <c r="F69" i="67"/>
  <c r="F76" i="67"/>
  <c r="F77" i="67"/>
  <c r="F78" i="67"/>
  <c r="F79" i="67"/>
  <c r="F75" i="67"/>
  <c r="I48" i="67" l="1"/>
  <c r="L48" i="67"/>
  <c r="I34" i="67"/>
  <c r="L34" i="67"/>
  <c r="I75" i="67"/>
  <c r="L75" i="67"/>
  <c r="I70" i="67"/>
  <c r="L70" i="67"/>
  <c r="L79" i="67"/>
  <c r="I79" i="67"/>
  <c r="I76" i="67"/>
  <c r="L76" i="67"/>
  <c r="L78" i="67"/>
  <c r="L77" i="67"/>
  <c r="I77" i="67"/>
  <c r="L71" i="67"/>
  <c r="I71" i="67"/>
  <c r="I69" i="67"/>
  <c r="L69" i="67"/>
  <c r="F64" i="67"/>
  <c r="F59" i="67" s="1"/>
  <c r="I65" i="67"/>
  <c r="L65" i="67"/>
  <c r="I61" i="67"/>
  <c r="L61" i="67"/>
  <c r="I49" i="67"/>
  <c r="L49" i="67"/>
  <c r="F43" i="67"/>
  <c r="L44" i="67"/>
  <c r="I44" i="67"/>
  <c r="F39" i="67"/>
  <c r="I41" i="67"/>
  <c r="L41" i="67"/>
  <c r="I40" i="67"/>
  <c r="L40" i="67"/>
  <c r="L36" i="67"/>
  <c r="I36" i="67"/>
  <c r="L35" i="67"/>
  <c r="I35" i="67"/>
  <c r="I27" i="67"/>
  <c r="L27" i="67"/>
  <c r="I30" i="67"/>
  <c r="L30" i="67"/>
  <c r="I18" i="67"/>
  <c r="L18" i="67"/>
  <c r="F68" i="67"/>
  <c r="F67" i="67" s="1"/>
  <c r="F33" i="67"/>
  <c r="L33" i="67" s="1"/>
  <c r="F74" i="67"/>
  <c r="F73" i="67" s="1"/>
  <c r="F47" i="67"/>
  <c r="F46" i="67" s="1"/>
  <c r="H73" i="67"/>
  <c r="F38" i="67" l="1"/>
  <c r="L74" i="67"/>
  <c r="L73" i="67"/>
  <c r="L68" i="67"/>
  <c r="I47" i="57"/>
  <c r="E26" i="66"/>
  <c r="D26" i="66"/>
  <c r="F28" i="66"/>
  <c r="L28" i="66" s="1"/>
  <c r="E31" i="66"/>
  <c r="E30" i="66" s="1"/>
  <c r="E37" i="66"/>
  <c r="F18" i="66"/>
  <c r="L18" i="66" s="1"/>
  <c r="F17" i="66"/>
  <c r="L17" i="66" s="1"/>
  <c r="F16" i="66"/>
  <c r="L16" i="66" s="1"/>
  <c r="F15" i="66"/>
  <c r="L15" i="66" s="1"/>
  <c r="F21" i="66"/>
  <c r="L21" i="66" s="1"/>
  <c r="F24" i="66"/>
  <c r="L24" i="66" s="1"/>
  <c r="F27" i="66"/>
  <c r="L27" i="66" s="1"/>
  <c r="F32" i="66"/>
  <c r="L32" i="66" s="1"/>
  <c r="E23" i="66"/>
  <c r="E20" i="66"/>
  <c r="E14" i="66"/>
  <c r="E11" i="66"/>
  <c r="F12" i="66"/>
  <c r="L12" i="66" s="1"/>
  <c r="E64" i="57"/>
  <c r="E63" i="57" s="1"/>
  <c r="E58" i="57"/>
  <c r="E57" i="57" s="1"/>
  <c r="D58" i="57"/>
  <c r="E54" i="57"/>
  <c r="E50" i="57"/>
  <c r="E45" i="57"/>
  <c r="E44" i="57" s="1"/>
  <c r="E41" i="57"/>
  <c r="E38" i="57"/>
  <c r="E33" i="57"/>
  <c r="E29" i="57"/>
  <c r="E26" i="57"/>
  <c r="F27" i="57"/>
  <c r="F26" i="57" s="1"/>
  <c r="E15" i="57"/>
  <c r="E11" i="57"/>
  <c r="D64" i="57"/>
  <c r="F55" i="57"/>
  <c r="L55" i="57" s="1"/>
  <c r="F51" i="57"/>
  <c r="F13" i="57"/>
  <c r="L13" i="57" s="1"/>
  <c r="F12" i="57"/>
  <c r="L12" i="57" s="1"/>
  <c r="F65" i="57"/>
  <c r="F68" i="57"/>
  <c r="L68" i="57" s="1"/>
  <c r="F69" i="57"/>
  <c r="L69" i="57" s="1"/>
  <c r="F67" i="57"/>
  <c r="L67" i="57" s="1"/>
  <c r="F66" i="57"/>
  <c r="L66" i="57" s="1"/>
  <c r="F61" i="57"/>
  <c r="L61" i="57" s="1"/>
  <c r="F60" i="57"/>
  <c r="L60" i="57" s="1"/>
  <c r="F59" i="57"/>
  <c r="L59" i="57" s="1"/>
  <c r="F46" i="57"/>
  <c r="L46" i="57" s="1"/>
  <c r="F42" i="57"/>
  <c r="L42" i="57" s="1"/>
  <c r="F39" i="57"/>
  <c r="L39" i="57" s="1"/>
  <c r="F35" i="57"/>
  <c r="L35" i="57" s="1"/>
  <c r="F34" i="57"/>
  <c r="L34" i="57" s="1"/>
  <c r="F23" i="57"/>
  <c r="L23" i="57" s="1"/>
  <c r="F24" i="57"/>
  <c r="L24" i="57" s="1"/>
  <c r="F22" i="57"/>
  <c r="L22" i="57" s="1"/>
  <c r="F21" i="57"/>
  <c r="L21" i="57" s="1"/>
  <c r="F17" i="57"/>
  <c r="L17" i="57" s="1"/>
  <c r="F18" i="57"/>
  <c r="L18" i="57" s="1"/>
  <c r="F16" i="57"/>
  <c r="F16" i="67"/>
  <c r="L51" i="57" l="1"/>
  <c r="L16" i="57"/>
  <c r="I16" i="57"/>
  <c r="L16" i="67"/>
  <c r="I16" i="67"/>
  <c r="E34" i="66"/>
  <c r="E35" i="66"/>
  <c r="I16" i="66"/>
  <c r="I18" i="66"/>
  <c r="I15" i="66"/>
  <c r="I27" i="66"/>
  <c r="I21" i="66"/>
  <c r="I32" i="66"/>
  <c r="F26" i="66"/>
  <c r="I28" i="66"/>
  <c r="J28" i="66" s="1"/>
  <c r="I24" i="66"/>
  <c r="I17" i="66"/>
  <c r="I12" i="66"/>
  <c r="E49" i="57"/>
  <c r="I67" i="57"/>
  <c r="I60" i="57"/>
  <c r="I51" i="57"/>
  <c r="F64" i="57"/>
  <c r="F63" i="57" s="1"/>
  <c r="I59" i="57"/>
  <c r="I35" i="57"/>
  <c r="I66" i="57"/>
  <c r="I65" i="57"/>
  <c r="L65" i="57"/>
  <c r="F58" i="57"/>
  <c r="F57" i="57" s="1"/>
  <c r="F54" i="57"/>
  <c r="I13" i="57"/>
  <c r="I55" i="57"/>
  <c r="I61" i="57"/>
  <c r="I69" i="57"/>
  <c r="F45" i="57"/>
  <c r="F44" i="57" s="1"/>
  <c r="I46" i="57"/>
  <c r="F41" i="57"/>
  <c r="I42" i="57"/>
  <c r="I39" i="57"/>
  <c r="F38" i="57"/>
  <c r="F33" i="57"/>
  <c r="I34" i="57"/>
  <c r="I24" i="57"/>
  <c r="I23" i="57"/>
  <c r="I21" i="57"/>
  <c r="F20" i="57"/>
  <c r="I22" i="57"/>
  <c r="I18" i="57"/>
  <c r="I17" i="57"/>
  <c r="F15" i="57"/>
  <c r="I12" i="57"/>
  <c r="F37" i="66"/>
  <c r="F34" i="66" s="1"/>
  <c r="E10" i="66"/>
  <c r="E37" i="57"/>
  <c r="E10" i="57"/>
  <c r="L27" i="57"/>
  <c r="L37" i="66" l="1"/>
  <c r="L35" i="66"/>
  <c r="F37" i="57"/>
  <c r="H11" i="57"/>
  <c r="H15" i="57"/>
  <c r="H20" i="57"/>
  <c r="H29" i="57"/>
  <c r="H33" i="57"/>
  <c r="H45" i="57"/>
  <c r="H58" i="57"/>
  <c r="H64" i="57"/>
  <c r="L15" i="57" l="1"/>
  <c r="L20" i="57"/>
  <c r="L33" i="57"/>
  <c r="L45" i="57"/>
  <c r="L58" i="57"/>
  <c r="L64" i="57"/>
  <c r="H39" i="67"/>
  <c r="L39" i="67" s="1"/>
  <c r="D33" i="67"/>
  <c r="J34" i="67"/>
  <c r="D39" i="67" l="1"/>
  <c r="J41" i="67"/>
  <c r="F24" i="67"/>
  <c r="F21" i="67"/>
  <c r="F17" i="67"/>
  <c r="F12" i="67"/>
  <c r="E81" i="67"/>
  <c r="J79" i="67"/>
  <c r="J77" i="67"/>
  <c r="J76" i="67"/>
  <c r="J75" i="67"/>
  <c r="D73" i="67"/>
  <c r="J71" i="67"/>
  <c r="J70" i="67"/>
  <c r="J69" i="67"/>
  <c r="D68" i="67"/>
  <c r="D67" i="67" s="1"/>
  <c r="J65" i="67"/>
  <c r="H64" i="67"/>
  <c r="L64" i="67" s="1"/>
  <c r="D64" i="67"/>
  <c r="D59" i="67" s="1"/>
  <c r="J61" i="67"/>
  <c r="H60" i="67"/>
  <c r="J49" i="67"/>
  <c r="J48" i="67"/>
  <c r="H47" i="67"/>
  <c r="D47" i="67"/>
  <c r="D46" i="67" s="1"/>
  <c r="J44" i="67"/>
  <c r="H43" i="67"/>
  <c r="L43" i="67" s="1"/>
  <c r="D43" i="67"/>
  <c r="J40" i="67"/>
  <c r="J36" i="67"/>
  <c r="J35" i="67"/>
  <c r="J30" i="67"/>
  <c r="H29" i="67"/>
  <c r="J27" i="67"/>
  <c r="H26" i="67"/>
  <c r="D26" i="67"/>
  <c r="H20" i="67"/>
  <c r="J18" i="67"/>
  <c r="J16" i="67"/>
  <c r="H15" i="67"/>
  <c r="F13" i="67"/>
  <c r="H11" i="67"/>
  <c r="E47" i="66"/>
  <c r="E45" i="66" s="1"/>
  <c r="E44" i="66" s="1"/>
  <c r="D41" i="57"/>
  <c r="L47" i="67" l="1"/>
  <c r="H46" i="67"/>
  <c r="L46" i="67" s="1"/>
  <c r="L26" i="67"/>
  <c r="H10" i="67"/>
  <c r="L60" i="67"/>
  <c r="H59" i="67"/>
  <c r="I13" i="67"/>
  <c r="J13" i="67" s="1"/>
  <c r="L13" i="67"/>
  <c r="L12" i="67"/>
  <c r="I12" i="67"/>
  <c r="J12" i="67" s="1"/>
  <c r="I24" i="67"/>
  <c r="J24" i="67" s="1"/>
  <c r="L24" i="67"/>
  <c r="L21" i="67"/>
  <c r="I21" i="67"/>
  <c r="J21" i="67" s="1"/>
  <c r="I17" i="67"/>
  <c r="J17" i="67" s="1"/>
  <c r="L17" i="67"/>
  <c r="F31" i="67"/>
  <c r="F15" i="67"/>
  <c r="L15" i="67" s="1"/>
  <c r="D38" i="67"/>
  <c r="F23" i="67"/>
  <c r="F11" i="67"/>
  <c r="L11" i="67" s="1"/>
  <c r="F22" i="67"/>
  <c r="H67" i="67"/>
  <c r="L67" i="67" s="1"/>
  <c r="H38" i="67"/>
  <c r="L38" i="67" s="1"/>
  <c r="D29" i="67"/>
  <c r="D20" i="67"/>
  <c r="D15" i="67"/>
  <c r="D11" i="67"/>
  <c r="H81" i="67" l="1"/>
  <c r="D10" i="67"/>
  <c r="D81" i="67" s="1"/>
  <c r="L59" i="67"/>
  <c r="L31" i="67"/>
  <c r="I31" i="67"/>
  <c r="J31" i="67" s="1"/>
  <c r="L23" i="67"/>
  <c r="I23" i="67"/>
  <c r="J23" i="67" s="1"/>
  <c r="L22" i="67"/>
  <c r="I22" i="67"/>
  <c r="J22" i="67" s="1"/>
  <c r="F29" i="67"/>
  <c r="L29" i="67" s="1"/>
  <c r="F20" i="67"/>
  <c r="L20" i="67" s="1"/>
  <c r="F31" i="66"/>
  <c r="F30" i="66" s="1"/>
  <c r="F23" i="66"/>
  <c r="F14" i="66"/>
  <c r="F11" i="66"/>
  <c r="F10" i="67" l="1"/>
  <c r="F81" i="67" s="1"/>
  <c r="L34" i="66"/>
  <c r="G57" i="67" l="1"/>
  <c r="K57" i="67" s="1"/>
  <c r="G56" i="67"/>
  <c r="K56" i="67" s="1"/>
  <c r="G16" i="67"/>
  <c r="G12" i="67"/>
  <c r="L10" i="67"/>
  <c r="L81" i="67" s="1"/>
  <c r="J12" i="66"/>
  <c r="J32" i="66"/>
  <c r="H31" i="66"/>
  <c r="D31" i="66"/>
  <c r="D30" i="66" s="1"/>
  <c r="J27" i="66"/>
  <c r="L26" i="66"/>
  <c r="J24" i="66"/>
  <c r="H23" i="66"/>
  <c r="L23" i="66" s="1"/>
  <c r="D23" i="66"/>
  <c r="J21" i="66"/>
  <c r="H20" i="66"/>
  <c r="D20" i="66"/>
  <c r="J18" i="66"/>
  <c r="J17" i="66"/>
  <c r="J16" i="66"/>
  <c r="J15" i="66"/>
  <c r="L14" i="66"/>
  <c r="D14" i="66"/>
  <c r="H11" i="66"/>
  <c r="D11" i="66"/>
  <c r="L11" i="66" l="1"/>
  <c r="H10" i="66"/>
  <c r="G53" i="67"/>
  <c r="K53" i="67" s="1"/>
  <c r="G52" i="67"/>
  <c r="K52" i="67" s="1"/>
  <c r="G61" i="67"/>
  <c r="K61" i="67" s="1"/>
  <c r="G62" i="67"/>
  <c r="K62" i="67" s="1"/>
  <c r="D10" i="66"/>
  <c r="D47" i="66" s="1"/>
  <c r="K12" i="67"/>
  <c r="G77" i="67"/>
  <c r="K77" i="67" s="1"/>
  <c r="G49" i="67"/>
  <c r="K49" i="67" s="1"/>
  <c r="G79" i="67"/>
  <c r="K79" i="67" s="1"/>
  <c r="G76" i="67"/>
  <c r="K76" i="67" s="1"/>
  <c r="G78" i="67"/>
  <c r="G13" i="67"/>
  <c r="K13" i="67" s="1"/>
  <c r="G36" i="67"/>
  <c r="K36" i="67" s="1"/>
  <c r="G75" i="67"/>
  <c r="K75" i="67" s="1"/>
  <c r="G24" i="67"/>
  <c r="K24" i="67" s="1"/>
  <c r="G21" i="67"/>
  <c r="K21" i="67" s="1"/>
  <c r="G31" i="67"/>
  <c r="K31" i="67" s="1"/>
  <c r="I81" i="67"/>
  <c r="J81" i="67" s="1"/>
  <c r="G48" i="67"/>
  <c r="K48" i="67" s="1"/>
  <c r="G27" i="67"/>
  <c r="K27" i="67" s="1"/>
  <c r="G17" i="67"/>
  <c r="G40" i="67"/>
  <c r="K40" i="67" s="1"/>
  <c r="G35" i="67"/>
  <c r="K35" i="67" s="1"/>
  <c r="G70" i="67"/>
  <c r="K70" i="67" s="1"/>
  <c r="G30" i="67"/>
  <c r="K30" i="67" s="1"/>
  <c r="G41" i="67"/>
  <c r="K41" i="67" s="1"/>
  <c r="G34" i="67"/>
  <c r="K34" i="67" s="1"/>
  <c r="G18" i="67"/>
  <c r="K18" i="67" s="1"/>
  <c r="G22" i="67"/>
  <c r="K22" i="67" s="1"/>
  <c r="G44" i="67"/>
  <c r="K44" i="67" s="1"/>
  <c r="G69" i="67"/>
  <c r="K69" i="67" s="1"/>
  <c r="G71" i="67"/>
  <c r="K71" i="67" s="1"/>
  <c r="G23" i="67"/>
  <c r="K23" i="67" s="1"/>
  <c r="G65" i="67"/>
  <c r="K65" i="67" s="1"/>
  <c r="H30" i="66"/>
  <c r="L30" i="66" s="1"/>
  <c r="L31" i="66"/>
  <c r="F20" i="66"/>
  <c r="K17" i="67" l="1"/>
  <c r="G81" i="67"/>
  <c r="K81" i="67" s="1"/>
  <c r="F10" i="66"/>
  <c r="L20" i="66"/>
  <c r="K16" i="67"/>
  <c r="L10" i="66" l="1"/>
  <c r="F47" i="66"/>
  <c r="G15" i="66" s="1"/>
  <c r="K15" i="66" s="1"/>
  <c r="H44" i="66"/>
  <c r="H47" i="66" s="1"/>
  <c r="I47" i="66" s="1"/>
  <c r="J47" i="66" s="1"/>
  <c r="G36" i="66"/>
  <c r="K36" i="66" s="1"/>
  <c r="G42" i="66"/>
  <c r="K42" i="66" s="1"/>
  <c r="G41" i="66"/>
  <c r="K41" i="66" s="1"/>
  <c r="G39" i="66"/>
  <c r="K39" i="66" s="1"/>
  <c r="G38" i="66"/>
  <c r="K38" i="66" s="1"/>
  <c r="G27" i="66"/>
  <c r="K27" i="66" s="1"/>
  <c r="G46" i="66"/>
  <c r="K46" i="66" s="1"/>
  <c r="G24" i="66"/>
  <c r="K24" i="66" s="1"/>
  <c r="G17" i="66"/>
  <c r="K17" i="66" s="1"/>
  <c r="G16" i="66"/>
  <c r="K16" i="66" s="1"/>
  <c r="G21" i="66"/>
  <c r="K21" i="66" s="1"/>
  <c r="G32" i="66"/>
  <c r="K32" i="66" s="1"/>
  <c r="G28" i="66"/>
  <c r="K28" i="66" s="1"/>
  <c r="G18" i="66"/>
  <c r="K18" i="66" s="1"/>
  <c r="G12" i="66"/>
  <c r="G47" i="66" l="1"/>
  <c r="L45" i="66"/>
  <c r="L44" i="66"/>
  <c r="L47" i="66" s="1"/>
  <c r="K47" i="66"/>
  <c r="K12" i="66"/>
  <c r="H44" i="57"/>
  <c r="H38" i="57"/>
  <c r="L38" i="57" l="1"/>
  <c r="L44" i="57"/>
  <c r="H54" i="57"/>
  <c r="H50" i="57"/>
  <c r="H49" i="57" l="1"/>
  <c r="L54" i="57"/>
  <c r="H57" i="57"/>
  <c r="L57" i="57" l="1"/>
  <c r="E70" i="57"/>
  <c r="D45" i="57"/>
  <c r="F52" i="57"/>
  <c r="F50" i="57" s="1"/>
  <c r="D29" i="57"/>
  <c r="F30" i="57"/>
  <c r="J18" i="57"/>
  <c r="J69" i="57"/>
  <c r="J67" i="57"/>
  <c r="J66" i="57"/>
  <c r="J65" i="57"/>
  <c r="H63" i="57"/>
  <c r="J61" i="57"/>
  <c r="J60" i="57"/>
  <c r="J59" i="57"/>
  <c r="J55" i="57"/>
  <c r="D54" i="57"/>
  <c r="D49" i="57" s="1"/>
  <c r="J51" i="57"/>
  <c r="J47" i="57"/>
  <c r="J46" i="57"/>
  <c r="J42" i="57"/>
  <c r="H41" i="57"/>
  <c r="J39" i="57"/>
  <c r="D38" i="57"/>
  <c r="J35" i="57"/>
  <c r="J34" i="57"/>
  <c r="D33" i="57"/>
  <c r="F31" i="57"/>
  <c r="J27" i="57"/>
  <c r="H26" i="57"/>
  <c r="L26" i="57" s="1"/>
  <c r="D26" i="57"/>
  <c r="J24" i="57"/>
  <c r="J23" i="57"/>
  <c r="J22" i="57"/>
  <c r="J21" i="57"/>
  <c r="D20" i="57"/>
  <c r="J17" i="57"/>
  <c r="J16" i="57"/>
  <c r="J13" i="57"/>
  <c r="J12" i="57"/>
  <c r="D11" i="57"/>
  <c r="D10" i="57" l="1"/>
  <c r="F49" i="57"/>
  <c r="L50" i="57"/>
  <c r="L52" i="57"/>
  <c r="I52" i="57"/>
  <c r="J52" i="57" s="1"/>
  <c r="L31" i="57"/>
  <c r="I31" i="57"/>
  <c r="J31" i="57" s="1"/>
  <c r="L30" i="57"/>
  <c r="I30" i="57"/>
  <c r="J30" i="57" s="1"/>
  <c r="L63" i="57"/>
  <c r="H37" i="57"/>
  <c r="L41" i="57"/>
  <c r="H10" i="57"/>
  <c r="D44" i="57"/>
  <c r="D37" i="57"/>
  <c r="F29" i="57"/>
  <c r="L29" i="57" s="1"/>
  <c r="F11" i="57"/>
  <c r="D57" i="57"/>
  <c r="D63" i="57"/>
  <c r="H70" i="57" l="1"/>
  <c r="F10" i="57"/>
  <c r="F70" i="57" s="1"/>
  <c r="L11" i="57"/>
  <c r="L37" i="57"/>
  <c r="L49" i="57"/>
  <c r="D70" i="57"/>
  <c r="L10" i="57" l="1"/>
  <c r="L70" i="57" s="1"/>
  <c r="I70" i="57"/>
  <c r="J70" i="57" s="1"/>
  <c r="E160" i="5" l="1"/>
  <c r="F132" i="5"/>
  <c r="F129" i="5"/>
  <c r="F124" i="5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F117" i="5"/>
  <c r="P116" i="5"/>
  <c r="Q116" i="5" s="1"/>
  <c r="P115" i="5"/>
  <c r="Q115" i="5" s="1"/>
  <c r="I115" i="5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F105" i="5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T92" i="5" s="1"/>
  <c r="P91" i="5"/>
  <c r="T91" i="5" s="1"/>
  <c r="P90" i="5"/>
  <c r="T90" i="5" s="1"/>
  <c r="P89" i="5"/>
  <c r="T89" i="5" s="1"/>
  <c r="P88" i="5"/>
  <c r="T88" i="5" s="1"/>
  <c r="P87" i="5"/>
  <c r="T87" i="5" s="1"/>
  <c r="P85" i="5"/>
  <c r="T85" i="5" s="1"/>
  <c r="P84" i="5"/>
  <c r="T84" i="5" s="1"/>
  <c r="P83" i="5"/>
  <c r="T83" i="5" s="1"/>
  <c r="M83" i="5"/>
  <c r="M82" i="5" s="1"/>
  <c r="K82" i="5"/>
  <c r="I82" i="5"/>
  <c r="E82" i="5"/>
  <c r="P82" i="5" s="1"/>
  <c r="P81" i="5"/>
  <c r="T81" i="5" s="1"/>
  <c r="M81" i="5"/>
  <c r="P80" i="5"/>
  <c r="T80" i="5" s="1"/>
  <c r="M80" i="5"/>
  <c r="M79" i="5" s="1"/>
  <c r="N79" i="5"/>
  <c r="N76" i="5" s="1"/>
  <c r="K79" i="5"/>
  <c r="I79" i="5"/>
  <c r="E79" i="5"/>
  <c r="P79" i="5" s="1"/>
  <c r="P78" i="5"/>
  <c r="T78" i="5" s="1"/>
  <c r="M78" i="5"/>
  <c r="P77" i="5"/>
  <c r="T77" i="5" s="1"/>
  <c r="M77" i="5"/>
  <c r="M76" i="5" s="1"/>
  <c r="K76" i="5"/>
  <c r="I76" i="5"/>
  <c r="G76" i="5"/>
  <c r="F76" i="5"/>
  <c r="E76" i="5"/>
  <c r="P76" i="5" s="1"/>
  <c r="P75" i="5"/>
  <c r="S75" i="5" s="1"/>
  <c r="M75" i="5"/>
  <c r="P74" i="5"/>
  <c r="T74" i="5" s="1"/>
  <c r="M74" i="5"/>
  <c r="M73" i="5" s="1"/>
  <c r="N73" i="5"/>
  <c r="I73" i="5"/>
  <c r="G73" i="5"/>
  <c r="F73" i="5"/>
  <c r="E73" i="5"/>
  <c r="P73" i="5" s="1"/>
  <c r="P72" i="5"/>
  <c r="S72" i="5" s="1"/>
  <c r="M72" i="5"/>
  <c r="P71" i="5"/>
  <c r="T71" i="5" s="1"/>
  <c r="M71" i="5"/>
  <c r="P70" i="5"/>
  <c r="Q70" i="5" s="1"/>
  <c r="M70" i="5"/>
  <c r="P69" i="5"/>
  <c r="T69" i="5" s="1"/>
  <c r="M69" i="5"/>
  <c r="P68" i="5"/>
  <c r="T68" i="5" s="1"/>
  <c r="M68" i="5"/>
  <c r="P67" i="5"/>
  <c r="T67" i="5" s="1"/>
  <c r="M67" i="5"/>
  <c r="P66" i="5"/>
  <c r="T66" i="5" s="1"/>
  <c r="M66" i="5"/>
  <c r="O65" i="5"/>
  <c r="N65" i="5"/>
  <c r="I65" i="5"/>
  <c r="G65" i="5"/>
  <c r="F65" i="5"/>
  <c r="E65" i="5"/>
  <c r="P65" i="5" s="1"/>
  <c r="P64" i="5"/>
  <c r="T64" i="5" s="1"/>
  <c r="M64" i="5"/>
  <c r="P63" i="5"/>
  <c r="T63" i="5" s="1"/>
  <c r="M63" i="5"/>
  <c r="M62" i="5" s="1"/>
  <c r="N62" i="5"/>
  <c r="K62" i="5"/>
  <c r="I62" i="5"/>
  <c r="G62" i="5"/>
  <c r="F62" i="5"/>
  <c r="E62" i="5"/>
  <c r="P62" i="5" s="1"/>
  <c r="P61" i="5"/>
  <c r="T61" i="5" s="1"/>
  <c r="M61" i="5"/>
  <c r="P60" i="5"/>
  <c r="T60" i="5" s="1"/>
  <c r="M60" i="5"/>
  <c r="M59" i="5" s="1"/>
  <c r="N59" i="5"/>
  <c r="I59" i="5"/>
  <c r="G59" i="5"/>
  <c r="F59" i="5"/>
  <c r="E59" i="5"/>
  <c r="P59" i="5" s="1"/>
  <c r="P58" i="5"/>
  <c r="T58" i="5" s="1"/>
  <c r="M58" i="5"/>
  <c r="P57" i="5"/>
  <c r="T57" i="5" s="1"/>
  <c r="M57" i="5"/>
  <c r="M56" i="5" s="1"/>
  <c r="N56" i="5"/>
  <c r="I56" i="5"/>
  <c r="G56" i="5"/>
  <c r="F56" i="5"/>
  <c r="E56" i="5"/>
  <c r="P56" i="5" s="1"/>
  <c r="P55" i="5"/>
  <c r="T55" i="5" s="1"/>
  <c r="M55" i="5"/>
  <c r="P54" i="5"/>
  <c r="T54" i="5" s="1"/>
  <c r="M54" i="5"/>
  <c r="P53" i="5"/>
  <c r="T53" i="5" s="1"/>
  <c r="M53" i="5"/>
  <c r="N52" i="5"/>
  <c r="K52" i="5"/>
  <c r="I52" i="5"/>
  <c r="G52" i="5"/>
  <c r="F52" i="5"/>
  <c r="E52" i="5"/>
  <c r="P52" i="5" s="1"/>
  <c r="P51" i="5"/>
  <c r="T51" i="5" s="1"/>
  <c r="M51" i="5"/>
  <c r="P50" i="5"/>
  <c r="T50" i="5" s="1"/>
  <c r="M50" i="5"/>
  <c r="P49" i="5"/>
  <c r="T49" i="5" s="1"/>
  <c r="M49" i="5"/>
  <c r="P48" i="5"/>
  <c r="T48" i="5" s="1"/>
  <c r="M48" i="5"/>
  <c r="P47" i="5"/>
  <c r="T47" i="5" s="1"/>
  <c r="M47" i="5"/>
  <c r="P46" i="5"/>
  <c r="T46" i="5" s="1"/>
  <c r="M46" i="5"/>
  <c r="N45" i="5"/>
  <c r="I45" i="5"/>
  <c r="G45" i="5"/>
  <c r="F45" i="5"/>
  <c r="E45" i="5"/>
  <c r="P45" i="5" s="1"/>
  <c r="P44" i="5"/>
  <c r="T44" i="5" s="1"/>
  <c r="M44" i="5"/>
  <c r="P43" i="5"/>
  <c r="T43" i="5" s="1"/>
  <c r="M43" i="5"/>
  <c r="P42" i="5"/>
  <c r="T42" i="5" s="1"/>
  <c r="M42" i="5"/>
  <c r="N41" i="5"/>
  <c r="K41" i="5"/>
  <c r="I41" i="5"/>
  <c r="E41" i="5"/>
  <c r="P41" i="5" s="1"/>
  <c r="P40" i="5"/>
  <c r="T40" i="5" s="1"/>
  <c r="M40" i="5"/>
  <c r="P39" i="5"/>
  <c r="R39" i="5" s="1"/>
  <c r="M39" i="5"/>
  <c r="P38" i="5"/>
  <c r="T38" i="5" s="1"/>
  <c r="M38" i="5"/>
  <c r="N37" i="5"/>
  <c r="I37" i="5"/>
  <c r="E37" i="5"/>
  <c r="P37" i="5" s="1"/>
  <c r="Q37" i="5" s="1"/>
  <c r="P36" i="5"/>
  <c r="T36" i="5" s="1"/>
  <c r="M36" i="5"/>
  <c r="P35" i="5"/>
  <c r="T35" i="5" s="1"/>
  <c r="M35" i="5"/>
  <c r="M34" i="5" s="1"/>
  <c r="N34" i="5"/>
  <c r="I34" i="5"/>
  <c r="E34" i="5"/>
  <c r="P34" i="5" s="1"/>
  <c r="T34" i="5" s="1"/>
  <c r="P33" i="5"/>
  <c r="T33" i="5" s="1"/>
  <c r="M33" i="5"/>
  <c r="P32" i="5"/>
  <c r="T32" i="5" s="1"/>
  <c r="M32" i="5"/>
  <c r="M31" i="5" s="1"/>
  <c r="N31" i="5"/>
  <c r="K31" i="5"/>
  <c r="I31" i="5"/>
  <c r="E31" i="5"/>
  <c r="P31" i="5" s="1"/>
  <c r="P30" i="5"/>
  <c r="T30" i="5" s="1"/>
  <c r="M30" i="5"/>
  <c r="P29" i="5"/>
  <c r="T29" i="5" s="1"/>
  <c r="M29" i="5"/>
  <c r="P28" i="5"/>
  <c r="T28" i="5" s="1"/>
  <c r="M28" i="5"/>
  <c r="P27" i="5"/>
  <c r="T27" i="5" s="1"/>
  <c r="M27" i="5"/>
  <c r="P26" i="5"/>
  <c r="T26" i="5" s="1"/>
  <c r="M26" i="5"/>
  <c r="P25" i="5"/>
  <c r="T25" i="5" s="1"/>
  <c r="M25" i="5"/>
  <c r="P24" i="5"/>
  <c r="T24" i="5" s="1"/>
  <c r="M24" i="5"/>
  <c r="I23" i="5"/>
  <c r="E23" i="5"/>
  <c r="P23" i="5" s="1"/>
  <c r="P22" i="5"/>
  <c r="T22" i="5" s="1"/>
  <c r="M22" i="5"/>
  <c r="P21" i="5"/>
  <c r="T21" i="5" s="1"/>
  <c r="M21" i="5"/>
  <c r="P20" i="5"/>
  <c r="T20" i="5" s="1"/>
  <c r="M20" i="5"/>
  <c r="P19" i="5"/>
  <c r="T19" i="5" s="1"/>
  <c r="M19" i="5"/>
  <c r="P18" i="5"/>
  <c r="T18" i="5" s="1"/>
  <c r="M18" i="5"/>
  <c r="P17" i="5"/>
  <c r="T17" i="5" s="1"/>
  <c r="M17" i="5"/>
  <c r="P16" i="5"/>
  <c r="T16" i="5" s="1"/>
  <c r="M16" i="5"/>
  <c r="P15" i="5"/>
  <c r="T15" i="5" s="1"/>
  <c r="M15" i="5"/>
  <c r="P14" i="5"/>
  <c r="T14" i="5" s="1"/>
  <c r="M14" i="5"/>
  <c r="P13" i="5"/>
  <c r="T13" i="5" s="1"/>
  <c r="M13" i="5"/>
  <c r="K13" i="5"/>
  <c r="P12" i="5"/>
  <c r="T12" i="5" s="1"/>
  <c r="M12" i="5"/>
  <c r="P11" i="5"/>
  <c r="T11" i="5" s="1"/>
  <c r="M11" i="5"/>
  <c r="I10" i="5"/>
  <c r="E10" i="5"/>
  <c r="E160" i="4"/>
  <c r="F132" i="4"/>
  <c r="F129" i="4"/>
  <c r="F124" i="4"/>
  <c r="P123" i="4"/>
  <c r="Q123" i="4" s="1"/>
  <c r="P122" i="4"/>
  <c r="Q122" i="4" s="1"/>
  <c r="P121" i="4"/>
  <c r="Q121" i="4" s="1"/>
  <c r="P120" i="4"/>
  <c r="Q120" i="4" s="1"/>
  <c r="P119" i="4"/>
  <c r="Q119" i="4" s="1"/>
  <c r="P118" i="4"/>
  <c r="Q118" i="4" s="1"/>
  <c r="P117" i="4"/>
  <c r="Q117" i="4" s="1"/>
  <c r="F117" i="4"/>
  <c r="P116" i="4"/>
  <c r="Q116" i="4" s="1"/>
  <c r="P115" i="4"/>
  <c r="Q115" i="4" s="1"/>
  <c r="I115" i="4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F105" i="4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P97" i="4"/>
  <c r="Q97" i="4" s="1"/>
  <c r="P96" i="4"/>
  <c r="Q96" i="4" s="1"/>
  <c r="P95" i="4"/>
  <c r="Q95" i="4" s="1"/>
  <c r="P94" i="4"/>
  <c r="Q94" i="4" s="1"/>
  <c r="P93" i="4"/>
  <c r="Q93" i="4" s="1"/>
  <c r="P92" i="4"/>
  <c r="T92" i="4" s="1"/>
  <c r="P91" i="4"/>
  <c r="T91" i="4" s="1"/>
  <c r="P90" i="4"/>
  <c r="T90" i="4" s="1"/>
  <c r="P89" i="4"/>
  <c r="T89" i="4" s="1"/>
  <c r="P88" i="4"/>
  <c r="T88" i="4" s="1"/>
  <c r="P87" i="4"/>
  <c r="T87" i="4" s="1"/>
  <c r="P85" i="4"/>
  <c r="T85" i="4" s="1"/>
  <c r="P84" i="4"/>
  <c r="T84" i="4" s="1"/>
  <c r="P83" i="4"/>
  <c r="T83" i="4" s="1"/>
  <c r="M83" i="4"/>
  <c r="M82" i="4" s="1"/>
  <c r="K82" i="4"/>
  <c r="I82" i="4"/>
  <c r="E82" i="4"/>
  <c r="P82" i="4" s="1"/>
  <c r="P81" i="4"/>
  <c r="T81" i="4" s="1"/>
  <c r="M81" i="4"/>
  <c r="P80" i="4"/>
  <c r="T80" i="4" s="1"/>
  <c r="M80" i="4"/>
  <c r="M79" i="4" s="1"/>
  <c r="N79" i="4"/>
  <c r="N76" i="4" s="1"/>
  <c r="K79" i="4"/>
  <c r="I79" i="4"/>
  <c r="E79" i="4"/>
  <c r="P79" i="4" s="1"/>
  <c r="P78" i="4"/>
  <c r="T78" i="4" s="1"/>
  <c r="M78" i="4"/>
  <c r="P77" i="4"/>
  <c r="T77" i="4" s="1"/>
  <c r="M77" i="4"/>
  <c r="M76" i="4" s="1"/>
  <c r="K76" i="4"/>
  <c r="I76" i="4"/>
  <c r="G76" i="4"/>
  <c r="F76" i="4"/>
  <c r="E76" i="4"/>
  <c r="P76" i="4" s="1"/>
  <c r="P75" i="4"/>
  <c r="T75" i="4" s="1"/>
  <c r="M75" i="4"/>
  <c r="P74" i="4"/>
  <c r="T74" i="4" s="1"/>
  <c r="M74" i="4"/>
  <c r="M73" i="4" s="1"/>
  <c r="N73" i="4"/>
  <c r="I73" i="4"/>
  <c r="G73" i="4"/>
  <c r="F73" i="4"/>
  <c r="E73" i="4"/>
  <c r="P73" i="4" s="1"/>
  <c r="P72" i="4"/>
  <c r="T72" i="4" s="1"/>
  <c r="M72" i="4"/>
  <c r="P71" i="4"/>
  <c r="M71" i="4"/>
  <c r="P70" i="4"/>
  <c r="S70" i="4" s="1"/>
  <c r="M70" i="4"/>
  <c r="P69" i="4"/>
  <c r="T69" i="4" s="1"/>
  <c r="M69" i="4"/>
  <c r="P68" i="4"/>
  <c r="S68" i="4" s="1"/>
  <c r="M68" i="4"/>
  <c r="P67" i="4"/>
  <c r="T67" i="4" s="1"/>
  <c r="M67" i="4"/>
  <c r="P66" i="4"/>
  <c r="S66" i="4" s="1"/>
  <c r="M66" i="4"/>
  <c r="O65" i="4"/>
  <c r="N65" i="4"/>
  <c r="I65" i="4"/>
  <c r="G65" i="4"/>
  <c r="F65" i="4"/>
  <c r="E65" i="4"/>
  <c r="P65" i="4" s="1"/>
  <c r="P64" i="4"/>
  <c r="S64" i="4" s="1"/>
  <c r="M64" i="4"/>
  <c r="P63" i="4"/>
  <c r="T63" i="4" s="1"/>
  <c r="M63" i="4"/>
  <c r="M62" i="4" s="1"/>
  <c r="N62" i="4"/>
  <c r="K62" i="4"/>
  <c r="I62" i="4"/>
  <c r="G62" i="4"/>
  <c r="F62" i="4"/>
  <c r="E62" i="4"/>
  <c r="P62" i="4" s="1"/>
  <c r="P61" i="4"/>
  <c r="T61" i="4" s="1"/>
  <c r="M61" i="4"/>
  <c r="P60" i="4"/>
  <c r="T60" i="4" s="1"/>
  <c r="M60" i="4"/>
  <c r="M59" i="4" s="1"/>
  <c r="N59" i="4"/>
  <c r="I59" i="4"/>
  <c r="G59" i="4"/>
  <c r="F59" i="4"/>
  <c r="E59" i="4"/>
  <c r="P59" i="4" s="1"/>
  <c r="P58" i="4"/>
  <c r="T58" i="4" s="1"/>
  <c r="M58" i="4"/>
  <c r="P57" i="4"/>
  <c r="S57" i="4" s="1"/>
  <c r="M57" i="4"/>
  <c r="M56" i="4" s="1"/>
  <c r="N56" i="4"/>
  <c r="I56" i="4"/>
  <c r="G56" i="4"/>
  <c r="F56" i="4"/>
  <c r="E56" i="4"/>
  <c r="P56" i="4" s="1"/>
  <c r="P55" i="4"/>
  <c r="S55" i="4" s="1"/>
  <c r="M55" i="4"/>
  <c r="P54" i="4"/>
  <c r="T54" i="4" s="1"/>
  <c r="M54" i="4"/>
  <c r="P53" i="4"/>
  <c r="S53" i="4" s="1"/>
  <c r="M53" i="4"/>
  <c r="N52" i="4"/>
  <c r="K52" i="4"/>
  <c r="I52" i="4"/>
  <c r="G52" i="4"/>
  <c r="F52" i="4"/>
  <c r="E52" i="4"/>
  <c r="P52" i="4" s="1"/>
  <c r="P51" i="4"/>
  <c r="S51" i="4" s="1"/>
  <c r="M51" i="4"/>
  <c r="P50" i="4"/>
  <c r="T50" i="4" s="1"/>
  <c r="M50" i="4"/>
  <c r="P49" i="4"/>
  <c r="T49" i="4" s="1"/>
  <c r="M49" i="4"/>
  <c r="P48" i="4"/>
  <c r="S48" i="4" s="1"/>
  <c r="M48" i="4"/>
  <c r="P47" i="4"/>
  <c r="S47" i="4" s="1"/>
  <c r="M47" i="4"/>
  <c r="P46" i="4"/>
  <c r="T46" i="4" s="1"/>
  <c r="M46" i="4"/>
  <c r="N45" i="4"/>
  <c r="I45" i="4"/>
  <c r="G45" i="4"/>
  <c r="F45" i="4"/>
  <c r="E45" i="4"/>
  <c r="P45" i="4" s="1"/>
  <c r="P44" i="4"/>
  <c r="T44" i="4" s="1"/>
  <c r="M44" i="4"/>
  <c r="P43" i="4"/>
  <c r="S43" i="4" s="1"/>
  <c r="M43" i="4"/>
  <c r="P42" i="4"/>
  <c r="T42" i="4" s="1"/>
  <c r="M42" i="4"/>
  <c r="N41" i="4"/>
  <c r="K41" i="4"/>
  <c r="I41" i="4"/>
  <c r="E41" i="4"/>
  <c r="P41" i="4" s="1"/>
  <c r="P40" i="4"/>
  <c r="T40" i="4" s="1"/>
  <c r="M40" i="4"/>
  <c r="P39" i="4"/>
  <c r="S39" i="4" s="1"/>
  <c r="M39" i="4"/>
  <c r="P38" i="4"/>
  <c r="T38" i="4" s="1"/>
  <c r="M38" i="4"/>
  <c r="N37" i="4"/>
  <c r="I37" i="4"/>
  <c r="E37" i="4"/>
  <c r="P37" i="4" s="1"/>
  <c r="P36" i="4"/>
  <c r="T36" i="4" s="1"/>
  <c r="M36" i="4"/>
  <c r="P35" i="4"/>
  <c r="S35" i="4" s="1"/>
  <c r="M35" i="4"/>
  <c r="M34" i="4" s="1"/>
  <c r="N34" i="4"/>
  <c r="I34" i="4"/>
  <c r="E34" i="4"/>
  <c r="P34" i="4" s="1"/>
  <c r="S34" i="4" s="1"/>
  <c r="P33" i="4"/>
  <c r="S33" i="4" s="1"/>
  <c r="M33" i="4"/>
  <c r="P32" i="4"/>
  <c r="T32" i="4" s="1"/>
  <c r="M32" i="4"/>
  <c r="M31" i="4" s="1"/>
  <c r="N31" i="4"/>
  <c r="K31" i="4"/>
  <c r="I31" i="4"/>
  <c r="E31" i="4"/>
  <c r="P31" i="4" s="1"/>
  <c r="P30" i="4"/>
  <c r="T30" i="4" s="1"/>
  <c r="M30" i="4"/>
  <c r="P29" i="4"/>
  <c r="S29" i="4" s="1"/>
  <c r="M29" i="4"/>
  <c r="P28" i="4"/>
  <c r="T28" i="4" s="1"/>
  <c r="M28" i="4"/>
  <c r="P27" i="4"/>
  <c r="S27" i="4" s="1"/>
  <c r="M27" i="4"/>
  <c r="P26" i="4"/>
  <c r="T26" i="4" s="1"/>
  <c r="M26" i="4"/>
  <c r="P25" i="4"/>
  <c r="S25" i="4" s="1"/>
  <c r="M25" i="4"/>
  <c r="P24" i="4"/>
  <c r="S24" i="4" s="1"/>
  <c r="M24" i="4"/>
  <c r="I23" i="4"/>
  <c r="E23" i="4"/>
  <c r="P23" i="4" s="1"/>
  <c r="P22" i="4"/>
  <c r="S22" i="4" s="1"/>
  <c r="M22" i="4"/>
  <c r="P21" i="4"/>
  <c r="T21" i="4" s="1"/>
  <c r="M21" i="4"/>
  <c r="P20" i="4"/>
  <c r="S20" i="4" s="1"/>
  <c r="M20" i="4"/>
  <c r="P19" i="4"/>
  <c r="S19" i="4" s="1"/>
  <c r="M19" i="4"/>
  <c r="P18" i="4"/>
  <c r="S18" i="4" s="1"/>
  <c r="M18" i="4"/>
  <c r="P17" i="4"/>
  <c r="S17" i="4" s="1"/>
  <c r="M17" i="4"/>
  <c r="P16" i="4"/>
  <c r="T16" i="4" s="1"/>
  <c r="M16" i="4"/>
  <c r="P15" i="4"/>
  <c r="S15" i="4" s="1"/>
  <c r="M15" i="4"/>
  <c r="P14" i="4"/>
  <c r="S14" i="4" s="1"/>
  <c r="M14" i="4"/>
  <c r="P13" i="4"/>
  <c r="S13" i="4" s="1"/>
  <c r="M13" i="4"/>
  <c r="K13" i="4"/>
  <c r="P12" i="4"/>
  <c r="S12" i="4" s="1"/>
  <c r="M12" i="4"/>
  <c r="P11" i="4"/>
  <c r="T11" i="4" s="1"/>
  <c r="M11" i="4"/>
  <c r="I10" i="4"/>
  <c r="E10" i="4"/>
  <c r="Q81" i="4" l="1"/>
  <c r="M37" i="5"/>
  <c r="M41" i="4"/>
  <c r="Q77" i="4"/>
  <c r="Q69" i="5"/>
  <c r="Q77" i="5"/>
  <c r="S11" i="5"/>
  <c r="Q16" i="5"/>
  <c r="Q40" i="4"/>
  <c r="Q85" i="4"/>
  <c r="Q92" i="4"/>
  <c r="S16" i="4"/>
  <c r="S21" i="4"/>
  <c r="Q30" i="4"/>
  <c r="M45" i="4"/>
  <c r="S54" i="4"/>
  <c r="Q60" i="4"/>
  <c r="Q69" i="4"/>
  <c r="Q21" i="5"/>
  <c r="S38" i="5"/>
  <c r="Q44" i="5"/>
  <c r="S46" i="5"/>
  <c r="S49" i="5"/>
  <c r="M52" i="5"/>
  <c r="S54" i="5"/>
  <c r="Q58" i="5"/>
  <c r="S63" i="5"/>
  <c r="Q81" i="5"/>
  <c r="Q85" i="5"/>
  <c r="Q21" i="4"/>
  <c r="S28" i="4"/>
  <c r="S40" i="4"/>
  <c r="Q42" i="4"/>
  <c r="Q46" i="4"/>
  <c r="S67" i="4"/>
  <c r="Q72" i="4"/>
  <c r="S77" i="4"/>
  <c r="M23" i="5"/>
  <c r="Q26" i="5"/>
  <c r="S36" i="5"/>
  <c r="Q38" i="5"/>
  <c r="K38" i="5" s="1"/>
  <c r="K37" i="5" s="1"/>
  <c r="S42" i="5"/>
  <c r="Q49" i="5"/>
  <c r="Q50" i="5"/>
  <c r="K50" i="5" s="1"/>
  <c r="Q63" i="5"/>
  <c r="Q88" i="5"/>
  <c r="M10" i="4"/>
  <c r="S11" i="4"/>
  <c r="Q16" i="4"/>
  <c r="M23" i="4"/>
  <c r="Q26" i="4"/>
  <c r="S44" i="4"/>
  <c r="Q49" i="4"/>
  <c r="M52" i="4"/>
  <c r="Q54" i="4"/>
  <c r="Q88" i="4"/>
  <c r="M10" i="5"/>
  <c r="Q30" i="5"/>
  <c r="M45" i="5"/>
  <c r="Q90" i="5"/>
  <c r="G86" i="5"/>
  <c r="M65" i="5"/>
  <c r="Q11" i="4"/>
  <c r="S36" i="4"/>
  <c r="M37" i="4"/>
  <c r="Q44" i="4"/>
  <c r="Q50" i="4"/>
  <c r="M65" i="4"/>
  <c r="Q75" i="4"/>
  <c r="Q90" i="4"/>
  <c r="S16" i="5"/>
  <c r="S21" i="5"/>
  <c r="S28" i="5"/>
  <c r="M41" i="5"/>
  <c r="S50" i="5"/>
  <c r="Q61" i="5"/>
  <c r="S67" i="5"/>
  <c r="S77" i="5"/>
  <c r="Q92" i="5"/>
  <c r="F86" i="5"/>
  <c r="I86" i="4"/>
  <c r="E86" i="4"/>
  <c r="J46" i="4" s="1"/>
  <c r="Q28" i="4"/>
  <c r="S32" i="4"/>
  <c r="Q36" i="4"/>
  <c r="S38" i="4"/>
  <c r="G86" i="4"/>
  <c r="S58" i="4"/>
  <c r="Q67" i="4"/>
  <c r="S84" i="4"/>
  <c r="I86" i="5"/>
  <c r="Q11" i="5"/>
  <c r="K11" i="5" s="1"/>
  <c r="Q28" i="5"/>
  <c r="S32" i="5"/>
  <c r="Q36" i="5"/>
  <c r="S40" i="5"/>
  <c r="Q42" i="5"/>
  <c r="Q46" i="5"/>
  <c r="Q54" i="5"/>
  <c r="Q67" i="5"/>
  <c r="S84" i="5"/>
  <c r="S26" i="4"/>
  <c r="S30" i="4"/>
  <c r="Q32" i="4"/>
  <c r="Q38" i="4"/>
  <c r="S42" i="4"/>
  <c r="F86" i="4"/>
  <c r="S46" i="4"/>
  <c r="S49" i="4"/>
  <c r="S50" i="4"/>
  <c r="Q58" i="4"/>
  <c r="S60" i="4"/>
  <c r="S69" i="4"/>
  <c r="S72" i="4"/>
  <c r="S75" i="4"/>
  <c r="S81" i="4"/>
  <c r="Q84" i="4"/>
  <c r="S85" i="4"/>
  <c r="S88" i="4"/>
  <c r="S90" i="4"/>
  <c r="S92" i="4"/>
  <c r="E86" i="5"/>
  <c r="H39" i="5" s="1"/>
  <c r="L39" i="5" s="1"/>
  <c r="S26" i="5"/>
  <c r="S30" i="5"/>
  <c r="Q32" i="5"/>
  <c r="Q40" i="5"/>
  <c r="S44" i="5"/>
  <c r="S58" i="5"/>
  <c r="S61" i="5"/>
  <c r="S69" i="5"/>
  <c r="S81" i="5"/>
  <c r="Q84" i="5"/>
  <c r="S85" i="5"/>
  <c r="S88" i="5"/>
  <c r="S90" i="5"/>
  <c r="S92" i="5"/>
  <c r="T31" i="5"/>
  <c r="R31" i="5"/>
  <c r="S31" i="5"/>
  <c r="Q31" i="5"/>
  <c r="S23" i="5"/>
  <c r="Q23" i="5"/>
  <c r="T23" i="5"/>
  <c r="R23" i="5"/>
  <c r="R11" i="5"/>
  <c r="Q12" i="5"/>
  <c r="S12" i="5"/>
  <c r="Q13" i="5"/>
  <c r="S13" i="5"/>
  <c r="Q14" i="5"/>
  <c r="K14" i="5" s="1"/>
  <c r="S14" i="5"/>
  <c r="Q15" i="5"/>
  <c r="K15" i="5" s="1"/>
  <c r="S15" i="5"/>
  <c r="R16" i="5"/>
  <c r="Q17" i="5"/>
  <c r="S17" i="5"/>
  <c r="Q18" i="5"/>
  <c r="S18" i="5"/>
  <c r="Q19" i="5"/>
  <c r="K19" i="5" s="1"/>
  <c r="S19" i="5"/>
  <c r="Q20" i="5"/>
  <c r="K20" i="5" s="1"/>
  <c r="S20" i="5"/>
  <c r="R21" i="5"/>
  <c r="Q22" i="5"/>
  <c r="S22" i="5"/>
  <c r="Q24" i="5"/>
  <c r="S24" i="5"/>
  <c r="Q25" i="5"/>
  <c r="K25" i="5" s="1"/>
  <c r="S25" i="5"/>
  <c r="R26" i="5"/>
  <c r="Q27" i="5"/>
  <c r="S27" i="5"/>
  <c r="R28" i="5"/>
  <c r="Q29" i="5"/>
  <c r="S29" i="5"/>
  <c r="R30" i="5"/>
  <c r="R32" i="5"/>
  <c r="Q33" i="5"/>
  <c r="S33" i="5"/>
  <c r="Q34" i="5"/>
  <c r="S34" i="5"/>
  <c r="Q35" i="5"/>
  <c r="K35" i="5" s="1"/>
  <c r="S35" i="5"/>
  <c r="R36" i="5"/>
  <c r="T45" i="5"/>
  <c r="R45" i="5"/>
  <c r="S45" i="5"/>
  <c r="Q45" i="5"/>
  <c r="T56" i="5"/>
  <c r="R56" i="5"/>
  <c r="S56" i="5"/>
  <c r="Q56" i="5"/>
  <c r="T59" i="5"/>
  <c r="R59" i="5"/>
  <c r="S59" i="5"/>
  <c r="Q59" i="5"/>
  <c r="T62" i="5"/>
  <c r="R62" i="5"/>
  <c r="S62" i="5"/>
  <c r="Q62" i="5"/>
  <c r="R12" i="5"/>
  <c r="R13" i="5"/>
  <c r="R14" i="5"/>
  <c r="R15" i="5"/>
  <c r="R17" i="5"/>
  <c r="R18" i="5"/>
  <c r="R19" i="5"/>
  <c r="R20" i="5"/>
  <c r="R22" i="5"/>
  <c r="R24" i="5"/>
  <c r="R25" i="5"/>
  <c r="R27" i="5"/>
  <c r="R29" i="5"/>
  <c r="R33" i="5"/>
  <c r="R34" i="5"/>
  <c r="R35" i="5"/>
  <c r="T37" i="5"/>
  <c r="R37" i="5"/>
  <c r="S37" i="5"/>
  <c r="T39" i="5"/>
  <c r="S39" i="5"/>
  <c r="Q39" i="5"/>
  <c r="T41" i="5"/>
  <c r="R41" i="5"/>
  <c r="S41" i="5"/>
  <c r="Q41" i="5"/>
  <c r="S52" i="5"/>
  <c r="Q52" i="5"/>
  <c r="T52" i="5"/>
  <c r="R52" i="5"/>
  <c r="S65" i="5"/>
  <c r="Q65" i="5"/>
  <c r="T65" i="5"/>
  <c r="R65" i="5"/>
  <c r="R38" i="5"/>
  <c r="R40" i="5"/>
  <c r="R42" i="5"/>
  <c r="Q43" i="5"/>
  <c r="S43" i="5"/>
  <c r="R44" i="5"/>
  <c r="R46" i="5"/>
  <c r="Q47" i="5"/>
  <c r="S47" i="5"/>
  <c r="Q48" i="5"/>
  <c r="K48" i="5" s="1"/>
  <c r="S48" i="5"/>
  <c r="R49" i="5"/>
  <c r="R50" i="5"/>
  <c r="Q51" i="5"/>
  <c r="S51" i="5"/>
  <c r="Q53" i="5"/>
  <c r="S53" i="5"/>
  <c r="R54" i="5"/>
  <c r="Q55" i="5"/>
  <c r="S55" i="5"/>
  <c r="Q57" i="5"/>
  <c r="S57" i="5"/>
  <c r="R58" i="5"/>
  <c r="Q60" i="5"/>
  <c r="K60" i="5" s="1"/>
  <c r="S60" i="5"/>
  <c r="R61" i="5"/>
  <c r="R63" i="5"/>
  <c r="Q64" i="5"/>
  <c r="S64" i="5"/>
  <c r="Q66" i="5"/>
  <c r="S66" i="5"/>
  <c r="R67" i="5"/>
  <c r="Q68" i="5"/>
  <c r="S68" i="5"/>
  <c r="R69" i="5"/>
  <c r="T73" i="5"/>
  <c r="R73" i="5"/>
  <c r="S73" i="5"/>
  <c r="Q73" i="5"/>
  <c r="T76" i="5"/>
  <c r="R76" i="5"/>
  <c r="S76" i="5"/>
  <c r="Q76" i="5"/>
  <c r="S82" i="5"/>
  <c r="Q82" i="5"/>
  <c r="T82" i="5"/>
  <c r="R82" i="5"/>
  <c r="R43" i="5"/>
  <c r="R47" i="5"/>
  <c r="R48" i="5"/>
  <c r="R51" i="5"/>
  <c r="R53" i="5"/>
  <c r="R55" i="5"/>
  <c r="R57" i="5"/>
  <c r="R60" i="5"/>
  <c r="R64" i="5"/>
  <c r="R66" i="5"/>
  <c r="R68" i="5"/>
  <c r="T70" i="5"/>
  <c r="R70" i="5"/>
  <c r="S70" i="5"/>
  <c r="S79" i="5"/>
  <c r="Q79" i="5"/>
  <c r="T79" i="5"/>
  <c r="R79" i="5"/>
  <c r="Q71" i="5"/>
  <c r="K71" i="5" s="1"/>
  <c r="S71" i="5"/>
  <c r="R72" i="5"/>
  <c r="T72" i="5"/>
  <c r="Q74" i="5"/>
  <c r="K74" i="5" s="1"/>
  <c r="S74" i="5"/>
  <c r="R75" i="5"/>
  <c r="T75" i="5"/>
  <c r="R77" i="5"/>
  <c r="Q78" i="5"/>
  <c r="S78" i="5"/>
  <c r="Q80" i="5"/>
  <c r="S80" i="5"/>
  <c r="R81" i="5"/>
  <c r="Q83" i="5"/>
  <c r="S83" i="5"/>
  <c r="R84" i="5"/>
  <c r="R85" i="5"/>
  <c r="Q87" i="5"/>
  <c r="S87" i="5"/>
  <c r="R88" i="5"/>
  <c r="Q89" i="5"/>
  <c r="S89" i="5"/>
  <c r="R90" i="5"/>
  <c r="Q91" i="5"/>
  <c r="S91" i="5"/>
  <c r="R92" i="5"/>
  <c r="R71" i="5"/>
  <c r="Q72" i="5"/>
  <c r="R74" i="5"/>
  <c r="Q75" i="5"/>
  <c r="R78" i="5"/>
  <c r="R80" i="5"/>
  <c r="R83" i="5"/>
  <c r="R87" i="5"/>
  <c r="R89" i="5"/>
  <c r="R91" i="5"/>
  <c r="S31" i="4"/>
  <c r="Q31" i="4"/>
  <c r="T31" i="4"/>
  <c r="R31" i="4"/>
  <c r="T37" i="4"/>
  <c r="R37" i="4"/>
  <c r="S37" i="4"/>
  <c r="Q37" i="4"/>
  <c r="S41" i="4"/>
  <c r="Q41" i="4"/>
  <c r="T41" i="4"/>
  <c r="R41" i="4"/>
  <c r="T23" i="4"/>
  <c r="R23" i="4"/>
  <c r="S23" i="4"/>
  <c r="Q23" i="4"/>
  <c r="S45" i="4"/>
  <c r="Q45" i="4"/>
  <c r="T45" i="4"/>
  <c r="R45" i="4"/>
  <c r="R12" i="4"/>
  <c r="T12" i="4"/>
  <c r="R13" i="4"/>
  <c r="T13" i="4"/>
  <c r="R14" i="4"/>
  <c r="K14" i="4" s="1"/>
  <c r="T14" i="4"/>
  <c r="R15" i="4"/>
  <c r="K15" i="4" s="1"/>
  <c r="T15" i="4"/>
  <c r="R17" i="4"/>
  <c r="T17" i="4"/>
  <c r="R18" i="4"/>
  <c r="T18" i="4"/>
  <c r="R19" i="4"/>
  <c r="K19" i="4" s="1"/>
  <c r="T19" i="4"/>
  <c r="R20" i="4"/>
  <c r="K20" i="4" s="1"/>
  <c r="T20" i="4"/>
  <c r="R22" i="4"/>
  <c r="T22" i="4"/>
  <c r="R24" i="4"/>
  <c r="T24" i="4"/>
  <c r="R25" i="4"/>
  <c r="K25" i="4" s="1"/>
  <c r="T25" i="4"/>
  <c r="R27" i="4"/>
  <c r="T27" i="4"/>
  <c r="R29" i="4"/>
  <c r="T29" i="4"/>
  <c r="R33" i="4"/>
  <c r="T33" i="4"/>
  <c r="R34" i="4"/>
  <c r="T34" i="4"/>
  <c r="R35" i="4"/>
  <c r="K35" i="4" s="1"/>
  <c r="T35" i="4"/>
  <c r="R39" i="4"/>
  <c r="T39" i="4"/>
  <c r="R43" i="4"/>
  <c r="T43" i="4"/>
  <c r="T52" i="4"/>
  <c r="R52" i="4"/>
  <c r="S52" i="4"/>
  <c r="Q52" i="4"/>
  <c r="T65" i="4"/>
  <c r="R65" i="4"/>
  <c r="S65" i="4"/>
  <c r="Q65" i="4"/>
  <c r="R11" i="4"/>
  <c r="K11" i="4" s="1"/>
  <c r="Q12" i="4"/>
  <c r="Q13" i="4"/>
  <c r="Q14" i="4"/>
  <c r="Q15" i="4"/>
  <c r="R16" i="4"/>
  <c r="Q17" i="4"/>
  <c r="Q18" i="4"/>
  <c r="Q19" i="4"/>
  <c r="Q20" i="4"/>
  <c r="R21" i="4"/>
  <c r="Q22" i="4"/>
  <c r="Q24" i="4"/>
  <c r="Q25" i="4"/>
  <c r="R26" i="4"/>
  <c r="Q27" i="4"/>
  <c r="R28" i="4"/>
  <c r="Q29" i="4"/>
  <c r="R30" i="4"/>
  <c r="R32" i="4"/>
  <c r="Q33" i="4"/>
  <c r="Q34" i="4"/>
  <c r="Q35" i="4"/>
  <c r="R36" i="4"/>
  <c r="R38" i="4"/>
  <c r="K38" i="4" s="1"/>
  <c r="K37" i="4" s="1"/>
  <c r="Q39" i="4"/>
  <c r="R40" i="4"/>
  <c r="R42" i="4"/>
  <c r="Q43" i="4"/>
  <c r="R44" i="4"/>
  <c r="S56" i="4"/>
  <c r="Q56" i="4"/>
  <c r="T56" i="4"/>
  <c r="R56" i="4"/>
  <c r="S59" i="4"/>
  <c r="Q59" i="4"/>
  <c r="T59" i="4"/>
  <c r="R59" i="4"/>
  <c r="S62" i="4"/>
  <c r="Q62" i="4"/>
  <c r="T62" i="4"/>
  <c r="R62" i="4"/>
  <c r="R47" i="4"/>
  <c r="T47" i="4"/>
  <c r="R48" i="4"/>
  <c r="K48" i="4" s="1"/>
  <c r="T48" i="4"/>
  <c r="R51" i="4"/>
  <c r="T51" i="4"/>
  <c r="R53" i="4"/>
  <c r="T53" i="4"/>
  <c r="R55" i="4"/>
  <c r="T55" i="4"/>
  <c r="R57" i="4"/>
  <c r="T57" i="4"/>
  <c r="R60" i="4"/>
  <c r="K60" i="4" s="1"/>
  <c r="K59" i="4" s="1"/>
  <c r="Q61" i="4"/>
  <c r="S61" i="4"/>
  <c r="Q63" i="4"/>
  <c r="S63" i="4"/>
  <c r="R64" i="4"/>
  <c r="T64" i="4"/>
  <c r="R66" i="4"/>
  <c r="T66" i="4"/>
  <c r="R68" i="4"/>
  <c r="T68" i="4"/>
  <c r="R70" i="4"/>
  <c r="T70" i="4"/>
  <c r="T71" i="4"/>
  <c r="R71" i="4"/>
  <c r="K71" i="4" s="1"/>
  <c r="S71" i="4"/>
  <c r="Q71" i="4"/>
  <c r="S79" i="4"/>
  <c r="Q79" i="4"/>
  <c r="T79" i="4"/>
  <c r="R79" i="4"/>
  <c r="R46" i="4"/>
  <c r="Q47" i="4"/>
  <c r="Q48" i="4"/>
  <c r="R49" i="4"/>
  <c r="R50" i="4"/>
  <c r="K50" i="4" s="1"/>
  <c r="Q51" i="4"/>
  <c r="Q53" i="4"/>
  <c r="R54" i="4"/>
  <c r="Q55" i="4"/>
  <c r="Q57" i="4"/>
  <c r="R58" i="4"/>
  <c r="R61" i="4"/>
  <c r="R63" i="4"/>
  <c r="Q64" i="4"/>
  <c r="Q66" i="4"/>
  <c r="R67" i="4"/>
  <c r="Q68" i="4"/>
  <c r="R69" i="4"/>
  <c r="Q70" i="4"/>
  <c r="T73" i="4"/>
  <c r="R73" i="4"/>
  <c r="S73" i="4"/>
  <c r="Q73" i="4"/>
  <c r="T76" i="4"/>
  <c r="R76" i="4"/>
  <c r="S76" i="4"/>
  <c r="Q76" i="4"/>
  <c r="S82" i="4"/>
  <c r="Q82" i="4"/>
  <c r="T82" i="4"/>
  <c r="R82" i="4"/>
  <c r="R72" i="4"/>
  <c r="Q74" i="4"/>
  <c r="S74" i="4"/>
  <c r="R75" i="4"/>
  <c r="R77" i="4"/>
  <c r="Q78" i="4"/>
  <c r="S78" i="4"/>
  <c r="Q80" i="4"/>
  <c r="S80" i="4"/>
  <c r="R81" i="4"/>
  <c r="Q83" i="4"/>
  <c r="S83" i="4"/>
  <c r="R84" i="4"/>
  <c r="R85" i="4"/>
  <c r="Q87" i="4"/>
  <c r="S87" i="4"/>
  <c r="R88" i="4"/>
  <c r="Q89" i="4"/>
  <c r="S89" i="4"/>
  <c r="R90" i="4"/>
  <c r="Q91" i="4"/>
  <c r="S91" i="4"/>
  <c r="R92" i="4"/>
  <c r="R74" i="4"/>
  <c r="K74" i="4" s="1"/>
  <c r="R78" i="4"/>
  <c r="R80" i="4"/>
  <c r="R83" i="4"/>
  <c r="R87" i="4"/>
  <c r="R89" i="4"/>
  <c r="R91" i="4"/>
  <c r="E65" i="1"/>
  <c r="P65" i="1" s="1"/>
  <c r="T65" i="1" s="1"/>
  <c r="E79" i="1"/>
  <c r="P79" i="1" s="1"/>
  <c r="S79" i="1" s="1"/>
  <c r="K13" i="1"/>
  <c r="K41" i="1"/>
  <c r="K52" i="1"/>
  <c r="I10" i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R92" i="1" s="1"/>
  <c r="P91" i="1"/>
  <c r="R91" i="1" s="1"/>
  <c r="P90" i="1"/>
  <c r="T90" i="1" s="1"/>
  <c r="P89" i="1"/>
  <c r="S89" i="1" s="1"/>
  <c r="P88" i="1"/>
  <c r="R88" i="1" s="1"/>
  <c r="P87" i="1"/>
  <c r="R87" i="1" s="1"/>
  <c r="P85" i="1"/>
  <c r="T85" i="1" s="1"/>
  <c r="P84" i="1"/>
  <c r="S84" i="1" s="1"/>
  <c r="P83" i="1"/>
  <c r="R83" i="1" s="1"/>
  <c r="P81" i="1"/>
  <c r="T81" i="1" s="1"/>
  <c r="P80" i="1"/>
  <c r="S80" i="1" s="1"/>
  <c r="P78" i="1"/>
  <c r="R78" i="1" s="1"/>
  <c r="P77" i="1"/>
  <c r="R77" i="1" s="1"/>
  <c r="P75" i="1"/>
  <c r="S75" i="1" s="1"/>
  <c r="P74" i="1"/>
  <c r="R74" i="1" s="1"/>
  <c r="P72" i="1"/>
  <c r="T72" i="1" s="1"/>
  <c r="P71" i="1"/>
  <c r="S71" i="1" s="1"/>
  <c r="P70" i="1"/>
  <c r="R70" i="1" s="1"/>
  <c r="P69" i="1"/>
  <c r="R69" i="1" s="1"/>
  <c r="P68" i="1"/>
  <c r="T68" i="1" s="1"/>
  <c r="P67" i="1"/>
  <c r="S67" i="1" s="1"/>
  <c r="P66" i="1"/>
  <c r="R66" i="1" s="1"/>
  <c r="P64" i="1"/>
  <c r="R64" i="1" s="1"/>
  <c r="P63" i="1"/>
  <c r="T63" i="1" s="1"/>
  <c r="P61" i="1"/>
  <c r="R61" i="1" s="1"/>
  <c r="P60" i="1"/>
  <c r="R60" i="1" s="1"/>
  <c r="P58" i="1"/>
  <c r="S58" i="1" s="1"/>
  <c r="P57" i="1"/>
  <c r="R57" i="1" s="1"/>
  <c r="P55" i="1"/>
  <c r="T55" i="1" s="1"/>
  <c r="P54" i="1"/>
  <c r="S54" i="1" s="1"/>
  <c r="P53" i="1"/>
  <c r="R53" i="1" s="1"/>
  <c r="P51" i="1"/>
  <c r="T51" i="1" s="1"/>
  <c r="P50" i="1"/>
  <c r="S50" i="1" s="1"/>
  <c r="P49" i="1"/>
  <c r="R49" i="1" s="1"/>
  <c r="P48" i="1"/>
  <c r="S48" i="1" s="1"/>
  <c r="P47" i="1"/>
  <c r="T47" i="1" s="1"/>
  <c r="P46" i="1"/>
  <c r="S46" i="1" s="1"/>
  <c r="P44" i="1"/>
  <c r="S44" i="1" s="1"/>
  <c r="P43" i="1"/>
  <c r="T43" i="1" s="1"/>
  <c r="P42" i="1"/>
  <c r="S42" i="1" s="1"/>
  <c r="P40" i="1"/>
  <c r="S40" i="1" s="1"/>
  <c r="P39" i="1"/>
  <c r="T39" i="1" s="1"/>
  <c r="P38" i="1"/>
  <c r="S38" i="1" s="1"/>
  <c r="P36" i="1"/>
  <c r="R36" i="1" s="1"/>
  <c r="P35" i="1"/>
  <c r="T35" i="1" s="1"/>
  <c r="P33" i="1"/>
  <c r="R33" i="1" s="1"/>
  <c r="P32" i="1"/>
  <c r="R32" i="1" s="1"/>
  <c r="P30" i="1"/>
  <c r="S30" i="1" s="1"/>
  <c r="P29" i="1"/>
  <c r="R29" i="1" s="1"/>
  <c r="P28" i="1"/>
  <c r="R28" i="1" s="1"/>
  <c r="P27" i="1"/>
  <c r="T27" i="1" s="1"/>
  <c r="P26" i="1"/>
  <c r="S26" i="1" s="1"/>
  <c r="P25" i="1"/>
  <c r="R25" i="1" s="1"/>
  <c r="P24" i="1"/>
  <c r="S24" i="1" s="1"/>
  <c r="P22" i="1"/>
  <c r="S22" i="1" s="1"/>
  <c r="P21" i="1"/>
  <c r="R21" i="1" s="1"/>
  <c r="P20" i="1"/>
  <c r="R20" i="1" s="1"/>
  <c r="P19" i="1"/>
  <c r="T19" i="1" s="1"/>
  <c r="P18" i="1"/>
  <c r="S18" i="1" s="1"/>
  <c r="P17" i="1"/>
  <c r="R17" i="1" s="1"/>
  <c r="P16" i="1"/>
  <c r="S16" i="1" s="1"/>
  <c r="P15" i="1"/>
  <c r="R15" i="1" s="1"/>
  <c r="P14" i="1"/>
  <c r="T14" i="1" s="1"/>
  <c r="P13" i="1"/>
  <c r="S13" i="1" s="1"/>
  <c r="P12" i="1"/>
  <c r="R12" i="1" s="1"/>
  <c r="P11" i="1"/>
  <c r="R11" i="1" s="1"/>
  <c r="I115" i="1"/>
  <c r="I76" i="1"/>
  <c r="I52" i="1"/>
  <c r="M83" i="1"/>
  <c r="M82" i="1" s="1"/>
  <c r="M81" i="1"/>
  <c r="M80" i="1"/>
  <c r="M79" i="1" s="1"/>
  <c r="M78" i="1"/>
  <c r="M77" i="1"/>
  <c r="M76" i="1" s="1"/>
  <c r="M75" i="1"/>
  <c r="M74" i="1"/>
  <c r="M73" i="1" s="1"/>
  <c r="M72" i="1"/>
  <c r="M71" i="1"/>
  <c r="M70" i="1"/>
  <c r="M69" i="1"/>
  <c r="M68" i="1"/>
  <c r="M67" i="1"/>
  <c r="M66" i="1"/>
  <c r="M64" i="1"/>
  <c r="M63" i="1"/>
  <c r="M62" i="1" s="1"/>
  <c r="M61" i="1"/>
  <c r="M60" i="1"/>
  <c r="M59" i="1" s="1"/>
  <c r="M58" i="1"/>
  <c r="M57" i="1"/>
  <c r="M56" i="1" s="1"/>
  <c r="M55" i="1"/>
  <c r="M54" i="1"/>
  <c r="M53" i="1"/>
  <c r="M51" i="1"/>
  <c r="M50" i="1"/>
  <c r="M49" i="1"/>
  <c r="M48" i="1"/>
  <c r="M47" i="1"/>
  <c r="M46" i="1"/>
  <c r="M44" i="1"/>
  <c r="M43" i="1"/>
  <c r="M42" i="1"/>
  <c r="M40" i="1"/>
  <c r="M39" i="1"/>
  <c r="M38" i="1"/>
  <c r="M36" i="1"/>
  <c r="M35" i="1"/>
  <c r="M34" i="1" s="1"/>
  <c r="M33" i="1"/>
  <c r="M32" i="1"/>
  <c r="M31" i="1" s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H43" i="5" l="1"/>
  <c r="L43" i="5" s="1"/>
  <c r="H71" i="5"/>
  <c r="L71" i="5" s="1"/>
  <c r="J82" i="4"/>
  <c r="J51" i="4"/>
  <c r="H16" i="4"/>
  <c r="L16" i="4" s="1"/>
  <c r="H11" i="4"/>
  <c r="L11" i="4" s="1"/>
  <c r="H71" i="4"/>
  <c r="L71" i="4" s="1"/>
  <c r="Q63" i="1"/>
  <c r="H49" i="4"/>
  <c r="L49" i="4" s="1"/>
  <c r="J20" i="4"/>
  <c r="J43" i="5"/>
  <c r="H20" i="4"/>
  <c r="L20" i="4" s="1"/>
  <c r="J69" i="4"/>
  <c r="J79" i="4"/>
  <c r="J14" i="4"/>
  <c r="J73" i="5"/>
  <c r="H17" i="5"/>
  <c r="L17" i="5" s="1"/>
  <c r="J68" i="5"/>
  <c r="J41" i="5"/>
  <c r="H46" i="4"/>
  <c r="L46" i="4" s="1"/>
  <c r="H28" i="4"/>
  <c r="L28" i="4" s="1"/>
  <c r="J64" i="4"/>
  <c r="J62" i="4"/>
  <c r="P86" i="4"/>
  <c r="R86" i="4" s="1"/>
  <c r="J32" i="4"/>
  <c r="J82" i="5"/>
  <c r="J45" i="5"/>
  <c r="H54" i="5"/>
  <c r="L54" i="5" s="1"/>
  <c r="J60" i="5"/>
  <c r="J78" i="5"/>
  <c r="H13" i="5"/>
  <c r="L13" i="5" s="1"/>
  <c r="J40" i="4"/>
  <c r="J24" i="4"/>
  <c r="H47" i="4"/>
  <c r="L47" i="4" s="1"/>
  <c r="J68" i="4"/>
  <c r="J26" i="4"/>
  <c r="J20" i="5"/>
  <c r="J67" i="5"/>
  <c r="H16" i="5"/>
  <c r="L16" i="5" s="1"/>
  <c r="J12" i="4"/>
  <c r="J55" i="4"/>
  <c r="H57" i="4"/>
  <c r="H56" i="4" s="1"/>
  <c r="H77" i="4"/>
  <c r="H76" i="4" s="1"/>
  <c r="J62" i="5"/>
  <c r="J28" i="5"/>
  <c r="H48" i="5"/>
  <c r="L48" i="5" s="1"/>
  <c r="J49" i="5"/>
  <c r="P86" i="5"/>
  <c r="T86" i="5" s="1"/>
  <c r="S87" i="1"/>
  <c r="J33" i="5"/>
  <c r="H27" i="5"/>
  <c r="L27" i="5" s="1"/>
  <c r="J21" i="5"/>
  <c r="J19" i="5"/>
  <c r="J38" i="5"/>
  <c r="J61" i="5"/>
  <c r="H53" i="5"/>
  <c r="H52" i="5" s="1"/>
  <c r="H77" i="5"/>
  <c r="L77" i="5" s="1"/>
  <c r="L76" i="5" s="1"/>
  <c r="H32" i="5"/>
  <c r="H31" i="5" s="1"/>
  <c r="H26" i="5"/>
  <c r="L26" i="5" s="1"/>
  <c r="H19" i="5"/>
  <c r="L19" i="5" s="1"/>
  <c r="R47" i="1"/>
  <c r="Q43" i="1"/>
  <c r="Q21" i="1"/>
  <c r="S77" i="1"/>
  <c r="S15" i="1"/>
  <c r="Q78" i="1"/>
  <c r="T57" i="1"/>
  <c r="M45" i="1"/>
  <c r="Q53" i="1"/>
  <c r="Q88" i="1"/>
  <c r="T92" i="1"/>
  <c r="J18" i="5"/>
  <c r="K18" i="5" s="1"/>
  <c r="H11" i="5"/>
  <c r="L11" i="5" s="1"/>
  <c r="J40" i="5"/>
  <c r="H46" i="5"/>
  <c r="L46" i="5" s="1"/>
  <c r="J50" i="5"/>
  <c r="J58" i="5"/>
  <c r="J66" i="5"/>
  <c r="J70" i="5"/>
  <c r="H47" i="5"/>
  <c r="L47" i="5" s="1"/>
  <c r="J51" i="5"/>
  <c r="J55" i="5"/>
  <c r="J64" i="5"/>
  <c r="J69" i="5"/>
  <c r="H74" i="5"/>
  <c r="H73" i="5" s="1"/>
  <c r="J81" i="5"/>
  <c r="J74" i="5"/>
  <c r="H80" i="5"/>
  <c r="L80" i="5" s="1"/>
  <c r="L79" i="5" s="1"/>
  <c r="H35" i="5"/>
  <c r="H34" i="5" s="1"/>
  <c r="J30" i="5"/>
  <c r="J27" i="5"/>
  <c r="J24" i="5"/>
  <c r="H21" i="5"/>
  <c r="L21" i="5" s="1"/>
  <c r="J17" i="5"/>
  <c r="Q47" i="1"/>
  <c r="Q81" i="1"/>
  <c r="T21" i="1"/>
  <c r="S69" i="1"/>
  <c r="S91" i="1"/>
  <c r="J38" i="4"/>
  <c r="J30" i="4"/>
  <c r="H18" i="4"/>
  <c r="J48" i="4"/>
  <c r="J57" i="4"/>
  <c r="K57" i="4" s="1"/>
  <c r="K56" i="4" s="1"/>
  <c r="H70" i="4"/>
  <c r="L70" i="4" s="1"/>
  <c r="J58" i="4"/>
  <c r="H69" i="4"/>
  <c r="L69" i="4" s="1"/>
  <c r="J80" i="4"/>
  <c r="H80" i="4"/>
  <c r="L80" i="4" s="1"/>
  <c r="L79" i="4" s="1"/>
  <c r="J22" i="4"/>
  <c r="J76" i="5"/>
  <c r="J59" i="5"/>
  <c r="H29" i="5"/>
  <c r="L29" i="5" s="1"/>
  <c r="J26" i="5"/>
  <c r="H24" i="5"/>
  <c r="L24" i="5" s="1"/>
  <c r="J16" i="5"/>
  <c r="J14" i="5"/>
  <c r="H12" i="5"/>
  <c r="L12" i="5" s="1"/>
  <c r="J39" i="5"/>
  <c r="J44" i="5"/>
  <c r="H49" i="5"/>
  <c r="L49" i="5" s="1"/>
  <c r="H57" i="5"/>
  <c r="H56" i="5" s="1"/>
  <c r="H63" i="5"/>
  <c r="H62" i="5" s="1"/>
  <c r="H69" i="5"/>
  <c r="L69" i="5" s="1"/>
  <c r="J46" i="5"/>
  <c r="H50" i="5"/>
  <c r="L50" i="5" s="1"/>
  <c r="J54" i="5"/>
  <c r="J63" i="5"/>
  <c r="H68" i="5"/>
  <c r="L68" i="5" s="1"/>
  <c r="J72" i="5"/>
  <c r="J80" i="5"/>
  <c r="J71" i="5"/>
  <c r="J79" i="5"/>
  <c r="H38" i="5"/>
  <c r="J29" i="5"/>
  <c r="H20" i="5"/>
  <c r="L20" i="5" s="1"/>
  <c r="H14" i="5"/>
  <c r="L14" i="5" s="1"/>
  <c r="J11" i="5"/>
  <c r="J86" i="4"/>
  <c r="M41" i="1"/>
  <c r="Q33" i="1"/>
  <c r="R14" i="1"/>
  <c r="T49" i="1"/>
  <c r="T78" i="1"/>
  <c r="J43" i="4"/>
  <c r="J36" i="4"/>
  <c r="H26" i="4"/>
  <c r="L26" i="4" s="1"/>
  <c r="H14" i="4"/>
  <c r="L14" i="4" s="1"/>
  <c r="J52" i="4"/>
  <c r="H66" i="4"/>
  <c r="L66" i="4" s="1"/>
  <c r="J50" i="4"/>
  <c r="H63" i="4"/>
  <c r="H62" i="4" s="1"/>
  <c r="J72" i="4"/>
  <c r="J74" i="4"/>
  <c r="J28" i="4"/>
  <c r="J19" i="4"/>
  <c r="J13" i="4"/>
  <c r="J35" i="5"/>
  <c r="J32" i="5"/>
  <c r="J25" i="5"/>
  <c r="J22" i="5"/>
  <c r="J15" i="5"/>
  <c r="J13" i="5"/>
  <c r="J86" i="5"/>
  <c r="H42" i="5"/>
  <c r="L42" i="5" s="1"/>
  <c r="J47" i="5"/>
  <c r="J53" i="5"/>
  <c r="H60" i="5"/>
  <c r="H59" i="5" s="1"/>
  <c r="H67" i="5"/>
  <c r="L67" i="5" s="1"/>
  <c r="J42" i="5"/>
  <c r="J48" i="5"/>
  <c r="J52" i="5"/>
  <c r="J57" i="5"/>
  <c r="K57" i="5" s="1"/>
  <c r="K56" i="5" s="1"/>
  <c r="H66" i="5"/>
  <c r="L66" i="5" s="1"/>
  <c r="H70" i="5"/>
  <c r="L70" i="5" s="1"/>
  <c r="J75" i="5"/>
  <c r="J83" i="5"/>
  <c r="J77" i="5"/>
  <c r="H83" i="5"/>
  <c r="H82" i="5" s="1"/>
  <c r="J36" i="5"/>
  <c r="H28" i="5"/>
  <c r="L28" i="5" s="1"/>
  <c r="H25" i="5"/>
  <c r="H18" i="5"/>
  <c r="J12" i="5"/>
  <c r="M86" i="5"/>
  <c r="M86" i="4"/>
  <c r="Q55" i="1"/>
  <c r="Q66" i="1"/>
  <c r="Q90" i="1"/>
  <c r="T25" i="1"/>
  <c r="R35" i="1"/>
  <c r="Q19" i="1"/>
  <c r="K19" i="1" s="1"/>
  <c r="Q29" i="1"/>
  <c r="T33" i="1"/>
  <c r="R55" i="1"/>
  <c r="T66" i="1"/>
  <c r="R85" i="1"/>
  <c r="J45" i="4"/>
  <c r="M37" i="1"/>
  <c r="M52" i="1"/>
  <c r="Q17" i="1"/>
  <c r="Q27" i="1"/>
  <c r="Q39" i="1"/>
  <c r="Q51" i="1"/>
  <c r="Q61" i="1"/>
  <c r="Q74" i="1"/>
  <c r="K74" i="1" s="1"/>
  <c r="K73" i="1" s="1"/>
  <c r="Q85" i="1"/>
  <c r="S11" i="1"/>
  <c r="R19" i="1"/>
  <c r="T29" i="1"/>
  <c r="R43" i="1"/>
  <c r="T53" i="1"/>
  <c r="R63" i="1"/>
  <c r="T74" i="1"/>
  <c r="T83" i="1"/>
  <c r="R90" i="1"/>
  <c r="J73" i="4"/>
  <c r="J44" i="4"/>
  <c r="H42" i="4"/>
  <c r="L42" i="4" s="1"/>
  <c r="J39" i="4"/>
  <c r="H21" i="4"/>
  <c r="L21" i="4" s="1"/>
  <c r="H19" i="4"/>
  <c r="L19" i="4" s="1"/>
  <c r="J17" i="4"/>
  <c r="H15" i="4"/>
  <c r="L15" i="4" s="1"/>
  <c r="H13" i="4"/>
  <c r="L13" i="4" s="1"/>
  <c r="J11" i="4"/>
  <c r="H50" i="4"/>
  <c r="L50" i="4" s="1"/>
  <c r="J54" i="4"/>
  <c r="J63" i="4"/>
  <c r="H68" i="4"/>
  <c r="L68" i="4" s="1"/>
  <c r="H48" i="4"/>
  <c r="L48" i="4" s="1"/>
  <c r="H54" i="4"/>
  <c r="L54" i="4" s="1"/>
  <c r="J61" i="4"/>
  <c r="H67" i="4"/>
  <c r="L67" i="4" s="1"/>
  <c r="J71" i="4"/>
  <c r="J75" i="4"/>
  <c r="J83" i="4"/>
  <c r="J78" i="4"/>
  <c r="J59" i="4"/>
  <c r="J42" i="4"/>
  <c r="H38" i="4"/>
  <c r="L38" i="4" s="1"/>
  <c r="J33" i="4"/>
  <c r="H29" i="4"/>
  <c r="L29" i="4" s="1"/>
  <c r="H27" i="4"/>
  <c r="L27" i="4" s="1"/>
  <c r="J25" i="4"/>
  <c r="J18" i="4"/>
  <c r="K18" i="4" s="1"/>
  <c r="J16" i="4"/>
  <c r="H12" i="4"/>
  <c r="L12" i="4" s="1"/>
  <c r="J41" i="4"/>
  <c r="M23" i="1"/>
  <c r="Q25" i="1"/>
  <c r="K25" i="1" s="1"/>
  <c r="K23" i="1" s="1"/>
  <c r="Q35" i="1"/>
  <c r="K35" i="1" s="1"/>
  <c r="K34" i="1" s="1"/>
  <c r="Q49" i="1"/>
  <c r="Q57" i="1"/>
  <c r="Q70" i="1"/>
  <c r="Q83" i="1"/>
  <c r="Q92" i="1"/>
  <c r="T17" i="1"/>
  <c r="R27" i="1"/>
  <c r="R39" i="1"/>
  <c r="R51" i="1"/>
  <c r="T61" i="1"/>
  <c r="T70" i="1"/>
  <c r="R81" i="1"/>
  <c r="T88" i="1"/>
  <c r="J76" i="4"/>
  <c r="H35" i="4"/>
  <c r="H34" i="4" s="1"/>
  <c r="H32" i="4"/>
  <c r="L32" i="4" s="1"/>
  <c r="L31" i="4" s="1"/>
  <c r="J29" i="4"/>
  <c r="J27" i="4"/>
  <c r="H25" i="4"/>
  <c r="L25" i="4" s="1"/>
  <c r="J49" i="4"/>
  <c r="H53" i="4"/>
  <c r="L53" i="4" s="1"/>
  <c r="J60" i="4"/>
  <c r="J67" i="4"/>
  <c r="J47" i="4"/>
  <c r="J53" i="4"/>
  <c r="H60" i="4"/>
  <c r="H59" i="4" s="1"/>
  <c r="J66" i="4"/>
  <c r="J70" i="4"/>
  <c r="H74" i="4"/>
  <c r="H73" i="4" s="1"/>
  <c r="J81" i="4"/>
  <c r="J77" i="4"/>
  <c r="H83" i="4"/>
  <c r="L83" i="4" s="1"/>
  <c r="L82" i="4" s="1"/>
  <c r="H43" i="4"/>
  <c r="L43" i="4" s="1"/>
  <c r="H39" i="4"/>
  <c r="L39" i="4" s="1"/>
  <c r="J35" i="4"/>
  <c r="H24" i="4"/>
  <c r="L24" i="4" s="1"/>
  <c r="J21" i="4"/>
  <c r="H17" i="4"/>
  <c r="L17" i="4" s="1"/>
  <c r="J15" i="4"/>
  <c r="T12" i="1"/>
  <c r="S20" i="1"/>
  <c r="S60" i="1"/>
  <c r="M65" i="1"/>
  <c r="Q13" i="1"/>
  <c r="Q18" i="1"/>
  <c r="Q22" i="1"/>
  <c r="Q26" i="1"/>
  <c r="Q30" i="1"/>
  <c r="Q38" i="1"/>
  <c r="K38" i="1" s="1"/>
  <c r="K37" i="1" s="1"/>
  <c r="Q42" i="1"/>
  <c r="Q46" i="1"/>
  <c r="Q50" i="1"/>
  <c r="K50" i="1" s="1"/>
  <c r="Q54" i="1"/>
  <c r="Q58" i="1"/>
  <c r="Q67" i="1"/>
  <c r="Q71" i="1"/>
  <c r="K71" i="1" s="1"/>
  <c r="K65" i="1" s="1"/>
  <c r="Q75" i="1"/>
  <c r="Q80" i="1"/>
  <c r="Q84" i="1"/>
  <c r="Q89" i="1"/>
  <c r="T11" i="1"/>
  <c r="R13" i="1"/>
  <c r="S14" i="1"/>
  <c r="T15" i="1"/>
  <c r="R18" i="1"/>
  <c r="S19" i="1"/>
  <c r="T20" i="1"/>
  <c r="R22" i="1"/>
  <c r="T24" i="1"/>
  <c r="R26" i="1"/>
  <c r="S27" i="1"/>
  <c r="T28" i="1"/>
  <c r="R30" i="1"/>
  <c r="T32" i="1"/>
  <c r="S35" i="1"/>
  <c r="T36" i="1"/>
  <c r="R38" i="1"/>
  <c r="S39" i="1"/>
  <c r="T40" i="1"/>
  <c r="R42" i="1"/>
  <c r="S43" i="1"/>
  <c r="T44" i="1"/>
  <c r="R46" i="1"/>
  <c r="S47" i="1"/>
  <c r="T48" i="1"/>
  <c r="R50" i="1"/>
  <c r="S51" i="1"/>
  <c r="R54" i="1"/>
  <c r="S55" i="1"/>
  <c r="R58" i="1"/>
  <c r="T60" i="1"/>
  <c r="S63" i="1"/>
  <c r="T64" i="1"/>
  <c r="R67" i="1"/>
  <c r="S68" i="1"/>
  <c r="T69" i="1"/>
  <c r="R71" i="1"/>
  <c r="S72" i="1"/>
  <c r="R75" i="1"/>
  <c r="T77" i="1"/>
  <c r="R80" i="1"/>
  <c r="S81" i="1"/>
  <c r="R84" i="1"/>
  <c r="S85" i="1"/>
  <c r="T87" i="1"/>
  <c r="R89" i="1"/>
  <c r="S90" i="1"/>
  <c r="T91" i="1"/>
  <c r="J31" i="4"/>
  <c r="S28" i="1"/>
  <c r="S32" i="1"/>
  <c r="S36" i="1"/>
  <c r="S64" i="1"/>
  <c r="M10" i="1"/>
  <c r="Q11" i="1"/>
  <c r="K11" i="1" s="1"/>
  <c r="Q15" i="1"/>
  <c r="K15" i="1" s="1"/>
  <c r="Q20" i="1"/>
  <c r="K20" i="1" s="1"/>
  <c r="Q24" i="1"/>
  <c r="Q28" i="1"/>
  <c r="Q32" i="1"/>
  <c r="Q36" i="1"/>
  <c r="Q40" i="1"/>
  <c r="Q44" i="1"/>
  <c r="Q48" i="1"/>
  <c r="K48" i="1" s="1"/>
  <c r="Q60" i="1"/>
  <c r="K60" i="1" s="1"/>
  <c r="K59" i="1" s="1"/>
  <c r="Q64" i="1"/>
  <c r="Q69" i="1"/>
  <c r="Q77" i="1"/>
  <c r="Q87" i="1"/>
  <c r="Q91" i="1"/>
  <c r="S12" i="1"/>
  <c r="T13" i="1"/>
  <c r="S17" i="1"/>
  <c r="T18" i="1"/>
  <c r="S21" i="1"/>
  <c r="T22" i="1"/>
  <c r="R24" i="1"/>
  <c r="S25" i="1"/>
  <c r="T26" i="1"/>
  <c r="S29" i="1"/>
  <c r="T30" i="1"/>
  <c r="S33" i="1"/>
  <c r="T38" i="1"/>
  <c r="R40" i="1"/>
  <c r="T42" i="1"/>
  <c r="R44" i="1"/>
  <c r="T46" i="1"/>
  <c r="R48" i="1"/>
  <c r="S49" i="1"/>
  <c r="T50" i="1"/>
  <c r="S53" i="1"/>
  <c r="T54" i="1"/>
  <c r="S57" i="1"/>
  <c r="T58" i="1"/>
  <c r="S61" i="1"/>
  <c r="S66" i="1"/>
  <c r="T67" i="1"/>
  <c r="S70" i="1"/>
  <c r="T71" i="1"/>
  <c r="S74" i="1"/>
  <c r="T75" i="1"/>
  <c r="S78" i="1"/>
  <c r="T80" i="1"/>
  <c r="S83" i="1"/>
  <c r="T84" i="1"/>
  <c r="S88" i="1"/>
  <c r="T89" i="1"/>
  <c r="S92" i="1"/>
  <c r="H15" i="5"/>
  <c r="J31" i="5"/>
  <c r="Q12" i="1"/>
  <c r="R68" i="1"/>
  <c r="R72" i="1"/>
  <c r="Q14" i="1"/>
  <c r="K14" i="1" s="1"/>
  <c r="Q68" i="1"/>
  <c r="Q72" i="1"/>
  <c r="R16" i="1"/>
  <c r="T16" i="1"/>
  <c r="Q16" i="1"/>
  <c r="K59" i="5"/>
  <c r="K45" i="5"/>
  <c r="K34" i="5"/>
  <c r="K73" i="5"/>
  <c r="K65" i="5"/>
  <c r="K23" i="5"/>
  <c r="K73" i="4"/>
  <c r="K45" i="4"/>
  <c r="K65" i="4"/>
  <c r="K34" i="4"/>
  <c r="K23" i="4"/>
  <c r="S65" i="1"/>
  <c r="Q65" i="1"/>
  <c r="R65" i="1"/>
  <c r="Q79" i="1"/>
  <c r="R79" i="1"/>
  <c r="T79" i="1"/>
  <c r="I23" i="1"/>
  <c r="I31" i="1"/>
  <c r="I34" i="1"/>
  <c r="I37" i="1"/>
  <c r="I41" i="1"/>
  <c r="I45" i="1"/>
  <c r="I56" i="1"/>
  <c r="I59" i="1"/>
  <c r="I62" i="1"/>
  <c r="I65" i="1"/>
  <c r="O65" i="1"/>
  <c r="K82" i="1"/>
  <c r="I82" i="1"/>
  <c r="N79" i="1"/>
  <c r="N76" i="1" s="1"/>
  <c r="K79" i="1"/>
  <c r="I79" i="1"/>
  <c r="K76" i="1"/>
  <c r="I73" i="1"/>
  <c r="K62" i="1"/>
  <c r="K31" i="1"/>
  <c r="F132" i="1"/>
  <c r="F129" i="1"/>
  <c r="F124" i="1"/>
  <c r="F117" i="1"/>
  <c r="F105" i="1"/>
  <c r="E160" i="1"/>
  <c r="E45" i="1"/>
  <c r="P45" i="1" s="1"/>
  <c r="E10" i="1"/>
  <c r="E23" i="1"/>
  <c r="P23" i="1" s="1"/>
  <c r="E76" i="1"/>
  <c r="P76" i="1" s="1"/>
  <c r="E41" i="1"/>
  <c r="P41" i="1" s="1"/>
  <c r="E37" i="1"/>
  <c r="P37" i="1" s="1"/>
  <c r="E82" i="1"/>
  <c r="P82" i="1" s="1"/>
  <c r="G76" i="1"/>
  <c r="E73" i="1"/>
  <c r="P73" i="1" s="1"/>
  <c r="E62" i="1"/>
  <c r="P62" i="1" s="1"/>
  <c r="E59" i="1"/>
  <c r="P59" i="1" s="1"/>
  <c r="E56" i="1"/>
  <c r="P56" i="1" s="1"/>
  <c r="E52" i="1"/>
  <c r="P52" i="1" s="1"/>
  <c r="E34" i="1"/>
  <c r="P34" i="1" s="1"/>
  <c r="E31" i="1"/>
  <c r="P31" i="1" s="1"/>
  <c r="B80" i="2"/>
  <c r="P75" i="2"/>
  <c r="M73" i="2"/>
  <c r="M72" i="2" s="1"/>
  <c r="J73" i="2"/>
  <c r="J72" i="2" s="1"/>
  <c r="F73" i="2"/>
  <c r="F72" i="2" s="1"/>
  <c r="N72" i="2"/>
  <c r="K72" i="2"/>
  <c r="I72" i="2"/>
  <c r="G72" i="2"/>
  <c r="E72" i="2"/>
  <c r="M71" i="2"/>
  <c r="K71" i="2"/>
  <c r="K65" i="2" s="1"/>
  <c r="J71" i="2"/>
  <c r="F71" i="2"/>
  <c r="M70" i="2"/>
  <c r="J70" i="2"/>
  <c r="F70" i="2"/>
  <c r="M69" i="2"/>
  <c r="J69" i="2"/>
  <c r="F69" i="2"/>
  <c r="M68" i="2"/>
  <c r="J68" i="2"/>
  <c r="F68" i="2"/>
  <c r="M67" i="2"/>
  <c r="J67" i="2"/>
  <c r="F67" i="2"/>
  <c r="M66" i="2"/>
  <c r="J66" i="2"/>
  <c r="F66" i="2"/>
  <c r="N65" i="2"/>
  <c r="I65" i="2"/>
  <c r="G65" i="2"/>
  <c r="E65" i="2"/>
  <c r="M64" i="2"/>
  <c r="M63" i="2" s="1"/>
  <c r="K64" i="2"/>
  <c r="K63" i="2" s="1"/>
  <c r="J64" i="2"/>
  <c r="J63" i="2" s="1"/>
  <c r="F64" i="2"/>
  <c r="F63" i="2" s="1"/>
  <c r="N63" i="2"/>
  <c r="I63" i="2"/>
  <c r="G63" i="2"/>
  <c r="E63" i="2"/>
  <c r="M62" i="2"/>
  <c r="M61" i="2" s="1"/>
  <c r="J62" i="2"/>
  <c r="J61" i="2" s="1"/>
  <c r="F62" i="2"/>
  <c r="F61" i="2" s="1"/>
  <c r="N61" i="2"/>
  <c r="K61" i="2"/>
  <c r="I61" i="2"/>
  <c r="G61" i="2"/>
  <c r="E61" i="2"/>
  <c r="M60" i="2"/>
  <c r="M59" i="2" s="1"/>
  <c r="J60" i="2"/>
  <c r="J59" i="2" s="1"/>
  <c r="F60" i="2"/>
  <c r="F59" i="2" s="1"/>
  <c r="N59" i="2"/>
  <c r="K59" i="2"/>
  <c r="I59" i="2"/>
  <c r="G59" i="2"/>
  <c r="E59" i="2"/>
  <c r="M58" i="2"/>
  <c r="M57" i="2" s="1"/>
  <c r="K58" i="2"/>
  <c r="K57" i="2" s="1"/>
  <c r="J58" i="2"/>
  <c r="J57" i="2" s="1"/>
  <c r="F58" i="2"/>
  <c r="F57" i="2" s="1"/>
  <c r="N57" i="2"/>
  <c r="I57" i="2"/>
  <c r="G57" i="2"/>
  <c r="E57" i="2"/>
  <c r="M56" i="2"/>
  <c r="M55" i="2" s="1"/>
  <c r="J56" i="2"/>
  <c r="J55" i="2" s="1"/>
  <c r="F56" i="2"/>
  <c r="F55" i="2" s="1"/>
  <c r="N55" i="2"/>
  <c r="K55" i="2"/>
  <c r="I55" i="2"/>
  <c r="G55" i="2"/>
  <c r="E55" i="2"/>
  <c r="M54" i="2"/>
  <c r="M53" i="2" s="1"/>
  <c r="K54" i="2"/>
  <c r="K53" i="2" s="1"/>
  <c r="J54" i="2"/>
  <c r="J53" i="2" s="1"/>
  <c r="F54" i="2"/>
  <c r="F53" i="2" s="1"/>
  <c r="N53" i="2"/>
  <c r="I53" i="2"/>
  <c r="G53" i="2"/>
  <c r="E53" i="2"/>
  <c r="M52" i="2"/>
  <c r="J52" i="2"/>
  <c r="F52" i="2"/>
  <c r="M51" i="2"/>
  <c r="J51" i="2"/>
  <c r="F51" i="2"/>
  <c r="M50" i="2"/>
  <c r="J50" i="2"/>
  <c r="F50" i="2"/>
  <c r="N49" i="2"/>
  <c r="K49" i="2"/>
  <c r="I49" i="2"/>
  <c r="G49" i="2"/>
  <c r="E49" i="2"/>
  <c r="M48" i="2"/>
  <c r="J48" i="2"/>
  <c r="F48" i="2"/>
  <c r="M47" i="2"/>
  <c r="K47" i="2"/>
  <c r="K44" i="2" s="1"/>
  <c r="J47" i="2"/>
  <c r="F47" i="2"/>
  <c r="M46" i="2"/>
  <c r="J46" i="2"/>
  <c r="F46" i="2"/>
  <c r="M45" i="2"/>
  <c r="J45" i="2"/>
  <c r="F45" i="2"/>
  <c r="N44" i="2"/>
  <c r="I44" i="2"/>
  <c r="G44" i="2"/>
  <c r="E44" i="2"/>
  <c r="M43" i="2"/>
  <c r="M42" i="2" s="1"/>
  <c r="J43" i="2"/>
  <c r="J42" i="2" s="1"/>
  <c r="F43" i="2"/>
  <c r="F42" i="2" s="1"/>
  <c r="N42" i="2"/>
  <c r="K42" i="2"/>
  <c r="I42" i="2"/>
  <c r="G42" i="2"/>
  <c r="E42" i="2"/>
  <c r="M41" i="2"/>
  <c r="K41" i="2"/>
  <c r="K39" i="2" s="1"/>
  <c r="G41" i="2"/>
  <c r="J41" i="2" s="1"/>
  <c r="M40" i="2"/>
  <c r="J40" i="2"/>
  <c r="F40" i="2"/>
  <c r="N39" i="2"/>
  <c r="I39" i="2"/>
  <c r="E39" i="2"/>
  <c r="M38" i="2"/>
  <c r="K38" i="2"/>
  <c r="J38" i="2"/>
  <c r="F38" i="2"/>
  <c r="M37" i="2"/>
  <c r="K37" i="2"/>
  <c r="K36" i="2" s="1"/>
  <c r="J37" i="2"/>
  <c r="F37" i="2"/>
  <c r="N36" i="2"/>
  <c r="I36" i="2"/>
  <c r="G36" i="2"/>
  <c r="E36" i="2"/>
  <c r="M35" i="2"/>
  <c r="M34" i="2" s="1"/>
  <c r="J35" i="2"/>
  <c r="J34" i="2" s="1"/>
  <c r="F35" i="2"/>
  <c r="F34" i="2" s="1"/>
  <c r="N34" i="2"/>
  <c r="K34" i="2"/>
  <c r="I34" i="2"/>
  <c r="G34" i="2"/>
  <c r="E34" i="2"/>
  <c r="M33" i="2"/>
  <c r="M32" i="2" s="1"/>
  <c r="K33" i="2"/>
  <c r="K32" i="2" s="1"/>
  <c r="J33" i="2"/>
  <c r="J32" i="2" s="1"/>
  <c r="F33" i="2"/>
  <c r="F32" i="2" s="1"/>
  <c r="N32" i="2"/>
  <c r="I32" i="2"/>
  <c r="G32" i="2"/>
  <c r="E32" i="2"/>
  <c r="M31" i="2"/>
  <c r="M30" i="2" s="1"/>
  <c r="J31" i="2"/>
  <c r="J30" i="2" s="1"/>
  <c r="F31" i="2"/>
  <c r="F30" i="2" s="1"/>
  <c r="N30" i="2"/>
  <c r="K30" i="2"/>
  <c r="I30" i="2"/>
  <c r="G30" i="2"/>
  <c r="E30" i="2"/>
  <c r="M29" i="2"/>
  <c r="J29" i="2"/>
  <c r="F29" i="2"/>
  <c r="M28" i="2"/>
  <c r="J28" i="2"/>
  <c r="F28" i="2"/>
  <c r="M27" i="2"/>
  <c r="J27" i="2"/>
  <c r="F27" i="2"/>
  <c r="M26" i="2"/>
  <c r="J26" i="2"/>
  <c r="F26" i="2"/>
  <c r="M25" i="2"/>
  <c r="K25" i="2"/>
  <c r="K22" i="2" s="1"/>
  <c r="J25" i="2"/>
  <c r="F25" i="2"/>
  <c r="M24" i="2"/>
  <c r="J24" i="2"/>
  <c r="F24" i="2"/>
  <c r="M23" i="2"/>
  <c r="J23" i="2"/>
  <c r="F23" i="2"/>
  <c r="I22" i="2"/>
  <c r="G22" i="2"/>
  <c r="E22" i="2"/>
  <c r="M21" i="2"/>
  <c r="J21" i="2"/>
  <c r="F21" i="2"/>
  <c r="M20" i="2"/>
  <c r="K20" i="2"/>
  <c r="J20" i="2"/>
  <c r="F20" i="2"/>
  <c r="M19" i="2"/>
  <c r="K19" i="2"/>
  <c r="J19" i="2"/>
  <c r="F19" i="2"/>
  <c r="M18" i="2"/>
  <c r="J18" i="2"/>
  <c r="K18" i="2" s="1"/>
  <c r="F18" i="2"/>
  <c r="M17" i="2"/>
  <c r="J17" i="2"/>
  <c r="K17" i="2" s="1"/>
  <c r="F17" i="2"/>
  <c r="M16" i="2"/>
  <c r="J16" i="2"/>
  <c r="K16" i="2" s="1"/>
  <c r="F16" i="2"/>
  <c r="M15" i="2"/>
  <c r="K15" i="2"/>
  <c r="J15" i="2"/>
  <c r="F15" i="2"/>
  <c r="M14" i="2"/>
  <c r="K14" i="2"/>
  <c r="J14" i="2"/>
  <c r="F14" i="2"/>
  <c r="M13" i="2"/>
  <c r="K13" i="2"/>
  <c r="J13" i="2"/>
  <c r="F13" i="2"/>
  <c r="M12" i="2"/>
  <c r="K12" i="2"/>
  <c r="J12" i="2"/>
  <c r="F12" i="2"/>
  <c r="M11" i="2"/>
  <c r="K11" i="2"/>
  <c r="J11" i="2"/>
  <c r="F11" i="2"/>
  <c r="I10" i="2"/>
  <c r="G10" i="2"/>
  <c r="E10" i="2"/>
  <c r="F73" i="1"/>
  <c r="N73" i="1"/>
  <c r="G73" i="1"/>
  <c r="N65" i="1"/>
  <c r="G65" i="1"/>
  <c r="F62" i="1"/>
  <c r="N62" i="1"/>
  <c r="G62" i="1"/>
  <c r="N59" i="1"/>
  <c r="G59" i="1"/>
  <c r="F59" i="1"/>
  <c r="N56" i="1"/>
  <c r="G56" i="1"/>
  <c r="F56" i="1"/>
  <c r="N52" i="1"/>
  <c r="G52" i="1"/>
  <c r="N45" i="1"/>
  <c r="G45" i="1"/>
  <c r="N41" i="1"/>
  <c r="N37" i="1"/>
  <c r="N34" i="1"/>
  <c r="N31" i="1"/>
  <c r="F36" i="2" l="1"/>
  <c r="J36" i="2"/>
  <c r="M36" i="2"/>
  <c r="L41" i="5"/>
  <c r="H41" i="5"/>
  <c r="L60" i="4"/>
  <c r="L59" i="4" s="1"/>
  <c r="H76" i="5"/>
  <c r="L77" i="4"/>
  <c r="L76" i="4" s="1"/>
  <c r="L63" i="5"/>
  <c r="L62" i="5" s="1"/>
  <c r="R86" i="5"/>
  <c r="S86" i="4"/>
  <c r="H31" i="4"/>
  <c r="L37" i="4"/>
  <c r="S86" i="5"/>
  <c r="T86" i="4"/>
  <c r="Q86" i="5"/>
  <c r="L53" i="5"/>
  <c r="L52" i="5" s="1"/>
  <c r="Q86" i="4"/>
  <c r="H79" i="5"/>
  <c r="L41" i="4"/>
  <c r="L32" i="5"/>
  <c r="L31" i="5" s="1"/>
  <c r="H79" i="4"/>
  <c r="L57" i="5"/>
  <c r="L56" i="5" s="1"/>
  <c r="L63" i="4"/>
  <c r="L62" i="4" s="1"/>
  <c r="H82" i="4"/>
  <c r="H37" i="4"/>
  <c r="L52" i="4"/>
  <c r="M86" i="1"/>
  <c r="L18" i="4"/>
  <c r="L10" i="4" s="1"/>
  <c r="L35" i="5"/>
  <c r="L34" i="5" s="1"/>
  <c r="F22" i="2"/>
  <c r="J22" i="2"/>
  <c r="H52" i="4"/>
  <c r="L74" i="5"/>
  <c r="L73" i="5" s="1"/>
  <c r="L60" i="5"/>
  <c r="L59" i="5" s="1"/>
  <c r="H23" i="5"/>
  <c r="H65" i="5"/>
  <c r="L18" i="5"/>
  <c r="H37" i="5"/>
  <c r="L38" i="5"/>
  <c r="L37" i="5" s="1"/>
  <c r="L74" i="4"/>
  <c r="L73" i="4" s="1"/>
  <c r="H41" i="4"/>
  <c r="M39" i="2"/>
  <c r="M49" i="2"/>
  <c r="F65" i="2"/>
  <c r="H23" i="4"/>
  <c r="L57" i="4"/>
  <c r="L56" i="4" s="1"/>
  <c r="L25" i="5"/>
  <c r="L23" i="5" s="1"/>
  <c r="L83" i="5"/>
  <c r="L82" i="5" s="1"/>
  <c r="H45" i="5"/>
  <c r="H10" i="5"/>
  <c r="J44" i="2"/>
  <c r="F10" i="2"/>
  <c r="M10" i="2"/>
  <c r="G39" i="2"/>
  <c r="G74" i="2" s="1"/>
  <c r="H45" i="4"/>
  <c r="K10" i="5"/>
  <c r="K85" i="5" s="1"/>
  <c r="K86" i="5" s="1"/>
  <c r="G86" i="1"/>
  <c r="F49" i="2"/>
  <c r="J49" i="2"/>
  <c r="J65" i="2"/>
  <c r="M65" i="2"/>
  <c r="H10" i="4"/>
  <c r="H65" i="4"/>
  <c r="K10" i="4"/>
  <c r="K85" i="4" s="1"/>
  <c r="K86" i="4" s="1"/>
  <c r="J10" i="2"/>
  <c r="M22" i="2"/>
  <c r="F44" i="2"/>
  <c r="M44" i="2"/>
  <c r="L35" i="4"/>
  <c r="L34" i="4" s="1"/>
  <c r="L45" i="4"/>
  <c r="L15" i="5"/>
  <c r="S52" i="1"/>
  <c r="R52" i="1"/>
  <c r="Q52" i="1"/>
  <c r="T52" i="1"/>
  <c r="R73" i="1"/>
  <c r="Q73" i="1"/>
  <c r="S73" i="1"/>
  <c r="T73" i="1"/>
  <c r="R37" i="1"/>
  <c r="T37" i="1"/>
  <c r="Q37" i="1"/>
  <c r="S37" i="1"/>
  <c r="E86" i="1"/>
  <c r="J83" i="1" s="1"/>
  <c r="K45" i="1"/>
  <c r="R45" i="1"/>
  <c r="S45" i="1"/>
  <c r="T45" i="1"/>
  <c r="Q45" i="1"/>
  <c r="S34" i="1"/>
  <c r="T34" i="1"/>
  <c r="R34" i="1"/>
  <c r="Q34" i="1"/>
  <c r="S62" i="1"/>
  <c r="T62" i="1"/>
  <c r="R62" i="1"/>
  <c r="Q62" i="1"/>
  <c r="R82" i="1"/>
  <c r="Q82" i="1"/>
  <c r="S82" i="1"/>
  <c r="T82" i="1"/>
  <c r="T23" i="1"/>
  <c r="Q23" i="1"/>
  <c r="S23" i="1"/>
  <c r="R23" i="1"/>
  <c r="J39" i="2"/>
  <c r="E74" i="2"/>
  <c r="L23" i="4"/>
  <c r="L65" i="5"/>
  <c r="S56" i="1"/>
  <c r="R56" i="1"/>
  <c r="Q56" i="1"/>
  <c r="T56" i="1"/>
  <c r="R41" i="1"/>
  <c r="S41" i="1"/>
  <c r="T41" i="1"/>
  <c r="Q41" i="1"/>
  <c r="T31" i="1"/>
  <c r="Q31" i="1"/>
  <c r="S31" i="1"/>
  <c r="R31" i="1"/>
  <c r="T59" i="1"/>
  <c r="Q59" i="1"/>
  <c r="R59" i="1"/>
  <c r="S59" i="1"/>
  <c r="T76" i="1"/>
  <c r="Q76" i="1"/>
  <c r="S76" i="1"/>
  <c r="R76" i="1"/>
  <c r="I74" i="2"/>
  <c r="F41" i="2"/>
  <c r="F39" i="2" s="1"/>
  <c r="L65" i="4"/>
  <c r="L45" i="5"/>
  <c r="I86" i="1"/>
  <c r="F76" i="1"/>
  <c r="F65" i="1"/>
  <c r="F45" i="1"/>
  <c r="F52" i="1"/>
  <c r="K10" i="2"/>
  <c r="J11" i="1" l="1"/>
  <c r="J58" i="1"/>
  <c r="J28" i="1"/>
  <c r="J75" i="1"/>
  <c r="H39" i="1"/>
  <c r="J20" i="1"/>
  <c r="J46" i="1"/>
  <c r="J31" i="1"/>
  <c r="J66" i="1"/>
  <c r="J55" i="1"/>
  <c r="J81" i="1"/>
  <c r="H53" i="1"/>
  <c r="H28" i="1"/>
  <c r="J86" i="1"/>
  <c r="J49" i="1"/>
  <c r="H46" i="1"/>
  <c r="J30" i="1"/>
  <c r="H12" i="1"/>
  <c r="L12" i="1" s="1"/>
  <c r="J73" i="1"/>
  <c r="J39" i="1"/>
  <c r="H50" i="1"/>
  <c r="J63" i="1"/>
  <c r="H83" i="1"/>
  <c r="H82" i="1" s="1"/>
  <c r="H48" i="1"/>
  <c r="J67" i="1"/>
  <c r="J41" i="1"/>
  <c r="J17" i="1"/>
  <c r="H15" i="1"/>
  <c r="J48" i="1"/>
  <c r="J12" i="1"/>
  <c r="H14" i="1"/>
  <c r="L14" i="1" s="1"/>
  <c r="L10" i="5"/>
  <c r="L86" i="5" s="1"/>
  <c r="J82" i="1"/>
  <c r="J64" i="1"/>
  <c r="J47" i="1"/>
  <c r="J29" i="1"/>
  <c r="H11" i="1"/>
  <c r="L11" i="1" s="1"/>
  <c r="H16" i="1"/>
  <c r="J72" i="1"/>
  <c r="J54" i="1"/>
  <c r="J38" i="1"/>
  <c r="J19" i="1"/>
  <c r="H67" i="1"/>
  <c r="H25" i="1"/>
  <c r="H54" i="1"/>
  <c r="H20" i="1"/>
  <c r="J74" i="1"/>
  <c r="J57" i="1"/>
  <c r="K57" i="1" s="1"/>
  <c r="K56" i="1" s="1"/>
  <c r="J40" i="1"/>
  <c r="J21" i="1"/>
  <c r="H69" i="1"/>
  <c r="H35" i="1"/>
  <c r="H34" i="1" s="1"/>
  <c r="H80" i="1"/>
  <c r="H79" i="1" s="1"/>
  <c r="L86" i="4"/>
  <c r="H86" i="4"/>
  <c r="H86" i="5"/>
  <c r="H64" i="2"/>
  <c r="H63" i="2" s="1"/>
  <c r="H60" i="2"/>
  <c r="L60" i="2" s="1"/>
  <c r="L59" i="2" s="1"/>
  <c r="H54" i="2"/>
  <c r="H53" i="2" s="1"/>
  <c r="H20" i="2"/>
  <c r="L20" i="2" s="1"/>
  <c r="H49" i="1"/>
  <c r="H21" i="1"/>
  <c r="H70" i="1"/>
  <c r="H24" i="1"/>
  <c r="F74" i="2"/>
  <c r="M74" i="2"/>
  <c r="H45" i="2"/>
  <c r="L45" i="2" s="1"/>
  <c r="H16" i="2"/>
  <c r="L16" i="2" s="1"/>
  <c r="H46" i="2"/>
  <c r="L46" i="2" s="1"/>
  <c r="H27" i="2"/>
  <c r="L27" i="2" s="1"/>
  <c r="H12" i="2"/>
  <c r="L12" i="2" s="1"/>
  <c r="H38" i="2"/>
  <c r="L38" i="2" s="1"/>
  <c r="J77" i="1"/>
  <c r="J69" i="1"/>
  <c r="J60" i="1"/>
  <c r="J51" i="1"/>
  <c r="J43" i="1"/>
  <c r="J33" i="1"/>
  <c r="J25" i="1"/>
  <c r="J13" i="1"/>
  <c r="H66" i="1"/>
  <c r="H26" i="1"/>
  <c r="J18" i="1"/>
  <c r="K18" i="1" s="1"/>
  <c r="K10" i="1" s="1"/>
  <c r="J76" i="1"/>
  <c r="J68" i="1"/>
  <c r="J59" i="1"/>
  <c r="J50" i="1"/>
  <c r="J42" i="1"/>
  <c r="J32" i="1"/>
  <c r="J24" i="1"/>
  <c r="J14" i="1"/>
  <c r="H71" i="1"/>
  <c r="H57" i="1"/>
  <c r="H56" i="1" s="1"/>
  <c r="H43" i="1"/>
  <c r="H27" i="1"/>
  <c r="H17" i="1"/>
  <c r="J79" i="1"/>
  <c r="H60" i="1"/>
  <c r="H59" i="1" s="1"/>
  <c r="H38" i="1"/>
  <c r="H13" i="1"/>
  <c r="L13" i="1" s="1"/>
  <c r="H69" i="2"/>
  <c r="L69" i="2" s="1"/>
  <c r="H26" i="2"/>
  <c r="L26" i="2" s="1"/>
  <c r="H70" i="2"/>
  <c r="L70" i="2" s="1"/>
  <c r="J80" i="1"/>
  <c r="J71" i="1"/>
  <c r="J62" i="1"/>
  <c r="J53" i="1"/>
  <c r="J45" i="1"/>
  <c r="J36" i="1"/>
  <c r="J27" i="1"/>
  <c r="J15" i="1"/>
  <c r="H74" i="1"/>
  <c r="H73" i="1" s="1"/>
  <c r="H32" i="1"/>
  <c r="H31" i="1" s="1"/>
  <c r="P86" i="1"/>
  <c r="R86" i="1" s="1"/>
  <c r="J78" i="1"/>
  <c r="J70" i="1"/>
  <c r="J61" i="1"/>
  <c r="J52" i="1"/>
  <c r="J44" i="1"/>
  <c r="J35" i="1"/>
  <c r="J26" i="1"/>
  <c r="J16" i="1"/>
  <c r="H77" i="1"/>
  <c r="H76" i="1" s="1"/>
  <c r="H63" i="1"/>
  <c r="H62" i="1" s="1"/>
  <c r="H47" i="1"/>
  <c r="H29" i="1"/>
  <c r="H19" i="1"/>
  <c r="J22" i="1"/>
  <c r="H68" i="1"/>
  <c r="H42" i="1"/>
  <c r="H41" i="1" s="1"/>
  <c r="H18" i="1"/>
  <c r="H24" i="2"/>
  <c r="L24" i="2" s="1"/>
  <c r="H11" i="2"/>
  <c r="H43" i="2"/>
  <c r="H42" i="2" s="1"/>
  <c r="F86" i="1"/>
  <c r="J74" i="2"/>
  <c r="H35" i="2"/>
  <c r="H34" i="2" s="1"/>
  <c r="H67" i="2"/>
  <c r="L67" i="2" s="1"/>
  <c r="H15" i="2"/>
  <c r="L15" i="2" s="1"/>
  <c r="H25" i="2"/>
  <c r="L25" i="2" s="1"/>
  <c r="H58" i="2"/>
  <c r="H57" i="2" s="1"/>
  <c r="H33" i="2"/>
  <c r="H48" i="2"/>
  <c r="L48" i="2" s="1"/>
  <c r="H62" i="2"/>
  <c r="L62" i="2" s="1"/>
  <c r="L61" i="2" s="1"/>
  <c r="H73" i="2"/>
  <c r="L73" i="2" s="1"/>
  <c r="L72" i="2" s="1"/>
  <c r="H14" i="2"/>
  <c r="L14" i="2" s="1"/>
  <c r="H18" i="2"/>
  <c r="L18" i="2" s="1"/>
  <c r="H23" i="2"/>
  <c r="L23" i="2" s="1"/>
  <c r="H31" i="2"/>
  <c r="H30" i="2" s="1"/>
  <c r="H41" i="2"/>
  <c r="L41" i="2" s="1"/>
  <c r="H52" i="2"/>
  <c r="L52" i="2" s="1"/>
  <c r="H66" i="2"/>
  <c r="L66" i="2" s="1"/>
  <c r="H51" i="2"/>
  <c r="L51" i="2" s="1"/>
  <c r="H19" i="2"/>
  <c r="L19" i="2" s="1"/>
  <c r="H37" i="2"/>
  <c r="H68" i="2"/>
  <c r="L68" i="2" s="1"/>
  <c r="H29" i="2"/>
  <c r="L29" i="2" s="1"/>
  <c r="H47" i="2"/>
  <c r="L47" i="2" s="1"/>
  <c r="H56" i="2"/>
  <c r="H55" i="2" s="1"/>
  <c r="H71" i="2"/>
  <c r="L71" i="2" s="1"/>
  <c r="H13" i="2"/>
  <c r="L13" i="2" s="1"/>
  <c r="H17" i="2"/>
  <c r="L17" i="2" s="1"/>
  <c r="H21" i="2"/>
  <c r="L21" i="2" s="1"/>
  <c r="H28" i="2"/>
  <c r="L28" i="2" s="1"/>
  <c r="H40" i="2"/>
  <c r="L40" i="2" s="1"/>
  <c r="H50" i="2"/>
  <c r="H61" i="2" l="1"/>
  <c r="H37" i="1"/>
  <c r="Q86" i="1"/>
  <c r="H59" i="2"/>
  <c r="H52" i="1"/>
  <c r="H36" i="2"/>
  <c r="L83" i="1"/>
  <c r="L82" i="1" s="1"/>
  <c r="L54" i="2"/>
  <c r="L53" i="2" s="1"/>
  <c r="L35" i="2"/>
  <c r="L34" i="2" s="1"/>
  <c r="H45" i="1"/>
  <c r="K85" i="1"/>
  <c r="K86" i="1" s="1"/>
  <c r="H65" i="1"/>
  <c r="L43" i="2"/>
  <c r="L42" i="2" s="1"/>
  <c r="H72" i="2"/>
  <c r="H23" i="1"/>
  <c r="L64" i="2"/>
  <c r="L63" i="2" s="1"/>
  <c r="L58" i="2"/>
  <c r="L57" i="2" s="1"/>
  <c r="H44" i="2"/>
  <c r="H10" i="1"/>
  <c r="L22" i="2"/>
  <c r="S86" i="1"/>
  <c r="H49" i="2"/>
  <c r="L65" i="2"/>
  <c r="L31" i="2"/>
  <c r="L30" i="2" s="1"/>
  <c r="T86" i="1"/>
  <c r="L37" i="2"/>
  <c r="L36" i="2" s="1"/>
  <c r="H65" i="2"/>
  <c r="H10" i="2"/>
  <c r="L11" i="2"/>
  <c r="L10" i="2" s="1"/>
  <c r="L50" i="2"/>
  <c r="L49" i="2" s="1"/>
  <c r="L39" i="2"/>
  <c r="H22" i="2"/>
  <c r="H32" i="2"/>
  <c r="L33" i="2"/>
  <c r="L32" i="2" s="1"/>
  <c r="L56" i="2"/>
  <c r="L55" i="2" s="1"/>
  <c r="H39" i="2"/>
  <c r="L44" i="2"/>
  <c r="L48" i="1"/>
  <c r="L80" i="1"/>
  <c r="L79" i="1" s="1"/>
  <c r="L70" i="1"/>
  <c r="L68" i="1"/>
  <c r="L54" i="1"/>
  <c r="L50" i="1"/>
  <c r="L46" i="1"/>
  <c r="L28" i="1"/>
  <c r="L26" i="1"/>
  <c r="L20" i="1"/>
  <c r="L18" i="1"/>
  <c r="L16" i="1"/>
  <c r="L71" i="1"/>
  <c r="L69" i="1"/>
  <c r="L67" i="1"/>
  <c r="L49" i="1"/>
  <c r="L43" i="1"/>
  <c r="L39" i="1"/>
  <c r="L29" i="1"/>
  <c r="L27" i="1"/>
  <c r="L25" i="1"/>
  <c r="L21" i="1"/>
  <c r="L19" i="1"/>
  <c r="L17" i="1"/>
  <c r="L15" i="1"/>
  <c r="L24" i="1"/>
  <c r="L35" i="1"/>
  <c r="L34" i="1" s="1"/>
  <c r="L77" i="1"/>
  <c r="L76" i="1" s="1"/>
  <c r="L60" i="1"/>
  <c r="L59" i="1" s="1"/>
  <c r="L57" i="1"/>
  <c r="L56" i="1" s="1"/>
  <c r="L32" i="1"/>
  <c r="L31" i="1" s="1"/>
  <c r="L53" i="1"/>
  <c r="L42" i="1"/>
  <c r="L63" i="1"/>
  <c r="L62" i="1" s="1"/>
  <c r="L74" i="1"/>
  <c r="L73" i="1" s="1"/>
  <c r="L66" i="1"/>
  <c r="L47" i="1"/>
  <c r="L38" i="1"/>
  <c r="L37" i="1" l="1"/>
  <c r="L74" i="2"/>
  <c r="H86" i="1"/>
  <c r="H74" i="2"/>
  <c r="L23" i="1"/>
  <c r="L10" i="1"/>
  <c r="L65" i="1"/>
  <c r="L52" i="1"/>
  <c r="L45" i="1"/>
  <c r="L41" i="1"/>
  <c r="L86" i="1" l="1"/>
  <c r="G27" i="57"/>
  <c r="K27" i="57" s="1"/>
  <c r="G47" i="57" l="1"/>
  <c r="K47" i="57" s="1"/>
  <c r="G60" i="57"/>
  <c r="K60" i="57" s="1"/>
  <c r="G39" i="57"/>
  <c r="K39" i="57" s="1"/>
  <c r="G35" i="57"/>
  <c r="K35" i="57" s="1"/>
  <c r="G46" i="57"/>
  <c r="K46" i="57" s="1"/>
  <c r="G55" i="57"/>
  <c r="K55" i="57" s="1"/>
  <c r="G24" i="57"/>
  <c r="K24" i="57" s="1"/>
  <c r="G30" i="57"/>
  <c r="K30" i="57" s="1"/>
  <c r="G59" i="57"/>
  <c r="K59" i="57" s="1"/>
  <c r="G66" i="57"/>
  <c r="K66" i="57" s="1"/>
  <c r="G69" i="57"/>
  <c r="K69" i="57" s="1"/>
  <c r="G23" i="57"/>
  <c r="K23" i="57" s="1"/>
  <c r="G13" i="57"/>
  <c r="K13" i="57" s="1"/>
  <c r="G67" i="57"/>
  <c r="K67" i="57" s="1"/>
  <c r="G17" i="57"/>
  <c r="K17" i="57" s="1"/>
  <c r="G52" i="57"/>
  <c r="K52" i="57" s="1"/>
  <c r="G51" i="57"/>
  <c r="K51" i="57" s="1"/>
  <c r="G65" i="57"/>
  <c r="K65" i="57" s="1"/>
  <c r="G18" i="57"/>
  <c r="K18" i="57" s="1"/>
  <c r="G12" i="57"/>
  <c r="G34" i="57"/>
  <c r="K34" i="57" s="1"/>
  <c r="G68" i="57"/>
  <c r="G31" i="57"/>
  <c r="K31" i="57" s="1"/>
  <c r="G22" i="57"/>
  <c r="K22" i="57" s="1"/>
  <c r="G42" i="57"/>
  <c r="K42" i="57" s="1"/>
  <c r="G61" i="57"/>
  <c r="K61" i="57" s="1"/>
  <c r="G16" i="57"/>
  <c r="K16" i="57" s="1"/>
  <c r="G21" i="57"/>
  <c r="K21" i="57" s="1"/>
  <c r="G70" i="57" l="1"/>
  <c r="K70" i="57" s="1"/>
  <c r="K12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NOMOR BELAKANGNYA DI URUT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<sst xmlns="http://schemas.openxmlformats.org/spreadsheetml/2006/main" count="1113" uniqueCount="343">
  <si>
    <t>SATUAN KERJA PERANGKAT DAERAH</t>
  </si>
  <si>
    <t>:</t>
  </si>
  <si>
    <t>: KANTOR CAMAT TANAH GROGOT</t>
  </si>
  <si>
    <t>BULAN</t>
  </si>
  <si>
    <t>KODE REKENING</t>
  </si>
  <si>
    <t>URAIAN KEGIATAN</t>
  </si>
  <si>
    <t>BELANJA LANGSUNG (BL)            (Rp)</t>
  </si>
  <si>
    <t>ANGGARAN BELANJA TAMBAHAN (ABT) (Rp)</t>
  </si>
  <si>
    <t>JUMLAH ANGGARAN SELETAH PERUBAHAN (Rp)</t>
  </si>
  <si>
    <t>BOBOT          %</t>
  </si>
  <si>
    <t xml:space="preserve">REALISASI </t>
  </si>
  <si>
    <t>SISA DANA                                (Rp)</t>
  </si>
  <si>
    <t>KET.</t>
  </si>
  <si>
    <t xml:space="preserve">KEUANGAN </t>
  </si>
  <si>
    <t>FISIK</t>
  </si>
  <si>
    <t>(Rp)</t>
  </si>
  <si>
    <t>(%)</t>
  </si>
  <si>
    <t xml:space="preserve">TERTIMBANG </t>
  </si>
  <si>
    <t>KANTOR CAMAT TANAH GROGOT</t>
  </si>
  <si>
    <t>4.01.  4.01.09.01. 01</t>
  </si>
  <si>
    <t>PROGRAM PELAYANAN ADMINISTRASI PERKANTORAN</t>
  </si>
  <si>
    <t>4.01.  4.01.09.01. 01.02</t>
  </si>
  <si>
    <t>Penyediaan Jasa Komunikasi, Sumber Daya Air Dan Listrik</t>
  </si>
  <si>
    <t>4.01.  4.01.09.01. 01.06</t>
  </si>
  <si>
    <t>Penyediaan Jasa Pemeliharaan dan Perizinan Kendaraan Dinas/operasional</t>
  </si>
  <si>
    <t>4.01.  4.01.09.01. 01.13</t>
  </si>
  <si>
    <t>Penyediaan Peralatan dan Perlengkapan Kantor</t>
  </si>
  <si>
    <t>4.01.  4.01.09.01. 01.14</t>
  </si>
  <si>
    <t>Penyediaan Peralatan Rumah Tangga</t>
  </si>
  <si>
    <t>4.01.  4.01.09.01. 01.15</t>
  </si>
  <si>
    <t>Penyediaan Bahan Bacaan Dan Peraturan Perundang-undangan</t>
  </si>
  <si>
    <t>4.01.  4.01.09.01. 01.17</t>
  </si>
  <si>
    <t>Penyediaan Makanan  dan Minuman</t>
  </si>
  <si>
    <t>4.01.  4.01.09.01. 01.18</t>
  </si>
  <si>
    <t>Rapat-rapat  Koordinasi dan Konsultasi</t>
  </si>
  <si>
    <t>4.01.  4.01.09.01. 01.07</t>
  </si>
  <si>
    <t>Penyediaan Jasa Administrasi Keuangan</t>
  </si>
  <si>
    <t>4.01.  4.01.09.01. 01.10</t>
  </si>
  <si>
    <t>Penyediaan Alat Tulis Kantor</t>
  </si>
  <si>
    <t>4.01.  4.01.09.01. 01.11</t>
  </si>
  <si>
    <t>Penyediaan Barang Cetakan Dan Penggandaan</t>
  </si>
  <si>
    <t>4.01.  4.01.09.01. 01.12</t>
  </si>
  <si>
    <t>Penyediaan Komponen Instalasi Listrik/Penerangan Bangunan Kantor</t>
  </si>
  <si>
    <t>4.01.  4.01.09.01. 02</t>
  </si>
  <si>
    <t>PROGRAM PENINGKATAN SARANA DAN PRASARANA APARATUR</t>
  </si>
  <si>
    <t>4.01.  4.01.09.01. 02.03</t>
  </si>
  <si>
    <t>Pembangunan Gedung Kantor</t>
  </si>
  <si>
    <t>4.01.  4.01.09.01. 02.07</t>
  </si>
  <si>
    <t>Pengadaan Perlengkapan Gedung Kantor</t>
  </si>
  <si>
    <t>4.01.  4.01.09.01. 02.19</t>
  </si>
  <si>
    <t>Pemeliharaan  Rutin/Berkala Asrama Pelajar</t>
  </si>
  <si>
    <t>4.01.  4.01.09.01. 02.22</t>
  </si>
  <si>
    <t xml:space="preserve">Pemeliharaan Rutin/Berkala Gedung Kantor </t>
  </si>
  <si>
    <t>4.01.  4.01.09.01. 02.24</t>
  </si>
  <si>
    <t>Pemeliharaan Rutin/Berkala Kendaraan Dinas/Operasional</t>
  </si>
  <si>
    <t>4.01.  4.01.09.01. 02.26</t>
  </si>
  <si>
    <t>Pemeliharaan Rutin/Berkala Perlengkapan Gedung Kantor</t>
  </si>
  <si>
    <t>4.01.  4.01.09.01. 02.28</t>
  </si>
  <si>
    <t>Pemeliharaan Rutin/Berkala Peralatan Gedung Kantor</t>
  </si>
  <si>
    <t>4.01.  4.01.09.01. 06</t>
  </si>
  <si>
    <t>PROGRAM PENINGKATAN PENGEMBANGAN SISTEM PELAPORAN CAPAIAN KINERJA DAN KEUANGAN</t>
  </si>
  <si>
    <t>4.01.  4.01.09.01. 06.05</t>
  </si>
  <si>
    <t xml:space="preserve">Penyusunan Laporan Akuntabilitas Kinerja Instansi Pemerintah              ( LAKIP ) </t>
  </si>
  <si>
    <t>2.06.  4.01.09.01. 15</t>
  </si>
  <si>
    <t>PROGRAM PENATAAN ADMINISTRASI KEPENDUDUKAN</t>
  </si>
  <si>
    <t>2.06.  4.01.09.01. 15.07</t>
  </si>
  <si>
    <t xml:space="preserve">Peningkatan Pelayanan Publik Dalam Bidang Kependudukan </t>
  </si>
  <si>
    <t>1. 01 . 4.01.09.01.15</t>
  </si>
  <si>
    <t>PROGRAM PENDIDIKAN ANAK USIA DINI</t>
  </si>
  <si>
    <t>Pembangunan Gedung Sekolah</t>
  </si>
  <si>
    <t>PROGRAM PENINGKATAN KEAMANAN DAN KENYAMANAN LINGKUNGAN</t>
  </si>
  <si>
    <t>1. 01 . 4.01.09.01.15.01</t>
  </si>
  <si>
    <t xml:space="preserve">Penyiapan Tenaga Pengendali Keamanan Dan Kenyamanan Lingkungan </t>
  </si>
  <si>
    <t>1. 01 . 4.01.09.01.15.09</t>
  </si>
  <si>
    <t>Fasilitasi FKPMKT/FKDM(Forum Kewaspadaan Dini Persaudaraan Masyarakat Kalimantan Timur/Forum Kewaspadaan Dini Masyarakat)</t>
  </si>
  <si>
    <t>2.07 . 4.01.09.01.15</t>
  </si>
  <si>
    <t>PROGRAM PENINGKATAN KEBERDAYAAN MASYARAKAT PERDESAAN</t>
  </si>
  <si>
    <t>2.07 . 4.01.09.01.15.05</t>
  </si>
  <si>
    <t>Penyelenggaraan Musrenbang  Tingkat Kecamatan</t>
  </si>
  <si>
    <t>2.07 . 4.01.09.01.15.07</t>
  </si>
  <si>
    <t>Pelaksanaan 10 Program Pokok PKK</t>
  </si>
  <si>
    <t>1.01 . 4.01.09.01.16</t>
  </si>
  <si>
    <t>PROGRAM WAJIB BELAJAR PENDIDIKAN DASAR SEMBILAN TAHUN</t>
  </si>
  <si>
    <t>1.01 . 4.01.09.01.16.19</t>
  </si>
  <si>
    <t>Pengadaan Mebuler Sekolah</t>
  </si>
  <si>
    <t>4.01.  4.01.09.01. 47</t>
  </si>
  <si>
    <t>PROGRAM PEMBINAAN DAN PENGAWASAN PENYELENGGARAAN PEMERINTAH</t>
  </si>
  <si>
    <t>4.01.  4.01.09.01. 47.01</t>
  </si>
  <si>
    <t>Koordinasi dan Monitoring Evaluasi ADD</t>
  </si>
  <si>
    <t>4.01.  4.01.09.01. 47.02</t>
  </si>
  <si>
    <t>Koordinasi dan Penyelenggaraan Lomba Desa</t>
  </si>
  <si>
    <t>4.01.  4.01.09.01. 47.03</t>
  </si>
  <si>
    <t>Koordinasi dan Verifikasi Pengelolaan Keuangan Desa</t>
  </si>
  <si>
    <t>4.01.  4.01.09.01. 47.04</t>
  </si>
  <si>
    <t>Koordinasi Penyelenggaraan Teknologi Tepat Guna Tingkat ( TTG )     Tingkat Kabupaten</t>
  </si>
  <si>
    <t>4.03.  4.01.09.01. 21</t>
  </si>
  <si>
    <t>PROGRAM PERENCANAAN PEMBANGUNAN DAERAH</t>
  </si>
  <si>
    <t>4.03.  4.01.09.01. 21.17</t>
  </si>
  <si>
    <t>Penyusunan RENJA SKPD</t>
  </si>
  <si>
    <t>4.03.  4.01.09.01. 21.22</t>
  </si>
  <si>
    <t>Evaluasi RENJA SKPD</t>
  </si>
  <si>
    <t>4.03.  4.01.09.01. 21.44</t>
  </si>
  <si>
    <t>Review dan Revisi RENSTRA SKPD</t>
  </si>
  <si>
    <t>1.02 . 4.01.09.01.39</t>
  </si>
  <si>
    <t>PROGRAM UPAYA KESEHATAN SEKOLAH</t>
  </si>
  <si>
    <t>1.02 . 4.01.09.01.39.01</t>
  </si>
  <si>
    <t>Pembinaan UKS</t>
  </si>
  <si>
    <t>1.02 . 4.01.09.01.25</t>
  </si>
  <si>
    <t>PROGRAM PENGADAAN, PENINGKATAN DAN PERBAIKAN SARANA DAN PRASARANA PUSKESMAS/PUSKESMAS PEMBANTU DAN JARINGANNYA</t>
  </si>
  <si>
    <t>1.02 . 4.01.09.01.25.01</t>
  </si>
  <si>
    <t xml:space="preserve">Pembangunan Puskesmas </t>
  </si>
  <si>
    <t>1.03. 4.01.09.01.15</t>
  </si>
  <si>
    <t xml:space="preserve">PROGRAM PEMBANGUNAN JALAN DAN JEMBATAN </t>
  </si>
  <si>
    <t>1.03. 4.01.09.01.15.01</t>
  </si>
  <si>
    <t>Perencanaan Pembangunan Jalan</t>
  </si>
  <si>
    <t>4.01. 4.01.09.01.50</t>
  </si>
  <si>
    <t>PROGRAM KOORDINASI PENYELENGGARAAN PEMERINTAHAN PERANGKAT DAERAH LAINNYA</t>
  </si>
  <si>
    <t>4.01. 4.01.09.01.50.02</t>
  </si>
  <si>
    <t>Koordinasi dan Fasilitasi Penyaluran Beras Sejahtera (Rastra )</t>
  </si>
  <si>
    <t>3.01. 4.01.09.01.21</t>
  </si>
  <si>
    <t>PROGRAM PENGEMBANGAN PERIKANAN TANGKAP</t>
  </si>
  <si>
    <t>3.01. 4.01.09.01.21.01</t>
  </si>
  <si>
    <t>Pendampingan Pada Kelompok Nelayan Perikanan Tangkap</t>
  </si>
  <si>
    <t>4.01. 4.01.09.01.43</t>
  </si>
  <si>
    <t>PROGRAM PENYELENGGARAAN SISTEM PENGENDALIAN INTERNAL PEMERINTAH (SPIP)</t>
  </si>
  <si>
    <t>4.01. 4.01.09.01.43.02</t>
  </si>
  <si>
    <t>Penyelenggaraan Sistem Pengendalian Internal Pemerintah ( SPIP )</t>
  </si>
  <si>
    <t>4.01. 4.01.09.01.46</t>
  </si>
  <si>
    <t>PROGRAM KOORDINASI PENYELENGGARAAN PEMERINTAH UMUM</t>
  </si>
  <si>
    <t>4.01. 4.01.09.01.46.01</t>
  </si>
  <si>
    <t>Koordinasi Dan Fasilitasi LPTQ</t>
  </si>
  <si>
    <t>4.01. 4.01.09.01.46.02</t>
  </si>
  <si>
    <t>Koordinasi Kerukunan Umat Beragama</t>
  </si>
  <si>
    <t>4.01. 4.01.09.01.46.03</t>
  </si>
  <si>
    <t>Koordinasi Dan Fasilitasi Paskibraka</t>
  </si>
  <si>
    <t>4.01. 4.01.09.01.46.05</t>
  </si>
  <si>
    <t>Koordinasi Desiminasi Informasi Perdesaan</t>
  </si>
  <si>
    <t>4.01. 4.01.09.01.46.06</t>
  </si>
  <si>
    <t>Koordinasi Pembakuan Rupa-Rupa Bumi</t>
  </si>
  <si>
    <t>4.01. 4.01.09.01.46.07</t>
  </si>
  <si>
    <t>Koordinasi Dan Fasilitasi Penetapan Tapal Batas</t>
  </si>
  <si>
    <t>4.01. 4.01.09.01.48</t>
  </si>
  <si>
    <t>PROGRAM KOORDINASI PENERAPAN DAN PENEGAKAN PERDA DAN PERKADA</t>
  </si>
  <si>
    <t>4.01. 4.01.09.01.48.02</t>
  </si>
  <si>
    <t>Pengawasan Dan Penegakan Peraturan Daerah</t>
  </si>
  <si>
    <t>JUMLAH</t>
  </si>
  <si>
    <t>Tana Paser,  04 Desember 2017</t>
  </si>
  <si>
    <t>Sekretaris Camat</t>
  </si>
  <si>
    <t>REALISASI KEGIATAN PEMBANGUNAN</t>
  </si>
  <si>
    <t>total paket</t>
  </si>
  <si>
    <t>83 paket</t>
  </si>
  <si>
    <t>Susi Purwanti</t>
  </si>
  <si>
    <t>NIP.  19610506 198903 2 003</t>
  </si>
  <si>
    <t>pemerinth</t>
  </si>
  <si>
    <t>]</t>
  </si>
  <si>
    <t>KABUPATEN PASER TAHUN 2018</t>
  </si>
  <si>
    <t>: FEBRUARI 2018</t>
  </si>
  <si>
    <t>Penyediaan Jasa Kebersihan Kantor</t>
  </si>
  <si>
    <t>BELANJA LANGSUNG (BL)/Rp</t>
  </si>
  <si>
    <t>4.01.  4.01.09.01. 02.10</t>
  </si>
  <si>
    <t>Pengadaan Meubelair</t>
  </si>
  <si>
    <t>Koordinasi dan Fasilitasi Penyusunan Profil Kecamatan dan Kelurahan</t>
  </si>
  <si>
    <t>4.01.  4.01.09.01. 47.05</t>
  </si>
  <si>
    <t>4.01. 4.01.09.01.46.09</t>
  </si>
  <si>
    <t>Koordinasi dan Fasilitasi Kegiatan Pemerintahan dan Kemasyarakatan</t>
  </si>
  <si>
    <t>4.01. 4.01.09.01.05</t>
  </si>
  <si>
    <t>PROGRAM PENINGKATAN KAPASITAS SUMBERDAYA APARATUR</t>
  </si>
  <si>
    <t>Pendidikan dan Pelatihan Formal</t>
  </si>
  <si>
    <t>PROGRAM KOORDINASI PEMBERDAYAAN MASYARAKAT</t>
  </si>
  <si>
    <t>4.01. 4.01.09.01.28</t>
  </si>
  <si>
    <t>4.01. 4.01.09.01.28.01</t>
  </si>
  <si>
    <t>Pemberdayaan Posyandu</t>
  </si>
  <si>
    <t>4.01. 4.01.09.01.15</t>
  </si>
  <si>
    <t>PROGRAM PENGEMBANGAN DATA/INFORMASI</t>
  </si>
  <si>
    <t>4.01. 4.01.09.01.15.20</t>
  </si>
  <si>
    <t>Penyusunan Data Statistik Sektoral</t>
  </si>
  <si>
    <t>Tana Paser,  18  Maret 2018</t>
  </si>
  <si>
    <t>Camat Tanah Grogot</t>
  </si>
  <si>
    <t>Siti Makiah, S.Sos</t>
  </si>
  <si>
    <t>NIP. 19630709 198602 2 003</t>
  </si>
  <si>
    <t>bulan 2</t>
  </si>
  <si>
    <t>bulan 3</t>
  </si>
  <si>
    <t>bulan 4</t>
  </si>
  <si>
    <t>blokc sel-sel atau range yang bs diedit klik kanan, format cell</t>
  </si>
  <si>
    <t>muncul jendela format cell&gt;tab protection&gt;unchech&gt;locked&gt;ok</t>
  </si>
  <si>
    <t>Blosk seluruh cell/salah stau cell</t>
  </si>
  <si>
    <t>Review&gt;ikon protect sheet&gt;isi pasword?ok</t>
  </si>
  <si>
    <t>keluar jendela konfirmasi?tulis pasword sekali lagi&gt;ok</t>
  </si>
  <si>
    <t>Tana Paser,  19  Maret 2018</t>
  </si>
  <si>
    <t xml:space="preserve">ANGGARAN BELANJA MURNI           </t>
  </si>
  <si>
    <t>ANGGARAN BELANJA TAMBAHAN (ABT)</t>
  </si>
  <si>
    <t xml:space="preserve">JUMLAH BELANJA </t>
  </si>
  <si>
    <t xml:space="preserve">SISA DANA                            </t>
  </si>
  <si>
    <t>ADMINISTRASI UMUM PERANGKAT DAERAH</t>
  </si>
  <si>
    <t>Penyediaan Bahan Logistik Kantor</t>
  </si>
  <si>
    <t>Penyelenggaraan Rapat Koordinasi dan Konsultasi SKPD</t>
  </si>
  <si>
    <t>PERENCANAAN, PENGANGGARAN, DAN EVALUASI KINERJA PERANGKAT DAERAH</t>
  </si>
  <si>
    <t>Penyusunan Dokumen Perencanaa Perangkat Daerah</t>
  </si>
  <si>
    <t>LAPORAN REALISASI ANGGARAN BELANJA SKPD</t>
  </si>
  <si>
    <t>ADMINISTRASI KEUANGAN PERANGKAT DAERAH</t>
  </si>
  <si>
    <t>Koordinasi dan Pelaksanaan Akuntansi SKPD</t>
  </si>
  <si>
    <t>PENYEDIAAN JASA PENUNJANG URUSAN PEMERINTAHAN DAERAH</t>
  </si>
  <si>
    <t>Penyediaan Jasa Komunikasi,Sumber Daya Air dan Listrik</t>
  </si>
  <si>
    <t>PEMELIHARAAN BARANG MILIK DAERAH PENUNJANG URUSAN PEMERINTAHAN DAERAH</t>
  </si>
  <si>
    <t>REALISASI ANGGARAN BELANJA</t>
  </si>
  <si>
    <t>PENYELENGGARAAN URUSAN PEMERINTAHAN YANG TIDAK DILAKSANAKAN OLEH UNIT KERJA PERANGKAT DAERAH YANG ADA DI KECAMATAN</t>
  </si>
  <si>
    <t xml:space="preserve">Peningkatan Efektifitas Pelaksanaan Pelayanan kepada Masyarakat di Wilayah Kecamatan </t>
  </si>
  <si>
    <t>PELAKSANAAN URUSAN PEMERINTAHAN YANG DILIMPAHKAN KEPADA CAMAT</t>
  </si>
  <si>
    <t>Pelaksanaan Urusan Pemerintahan Yang Terkait dengan Kewenangan Lain yang Dilimpahkan</t>
  </si>
  <si>
    <t>KOORDINASI KEGIATAN PEMBERDAYAAN DESA</t>
  </si>
  <si>
    <t>Peningkatan Partisipasi Masyarakat dalam Forum Musyawarah Perencanaan Pembangunan Di Desa</t>
  </si>
  <si>
    <t>Peningkatan Efektifitas Kegiatan Pemberdayaan Masyarakat di Wilayah Kecamatan</t>
  </si>
  <si>
    <t>KOORDINASI UPAYA PENYELENGGARAAN KETENTRAMAN DAN KETERTIBAN UMUM</t>
  </si>
  <si>
    <t>Harmonisasi Hubungan Dengan Tokoh Agama dan Tokoh Masyarakat</t>
  </si>
  <si>
    <t>KOORDINASI PENERAPAN DAN PENEGAKAN PERATURAN DAERAH DAN PERATURAN KEPALA DAERAH</t>
  </si>
  <si>
    <t xml:space="preserve">Koordinasi/Sinergi Dengan Perangkat Daerah Yang Tugas dan Fungsinya di Bidang Penegakan Reraturan Perundang-Undangan dan/atau Keplisisn Negara RI </t>
  </si>
  <si>
    <t>Pembinaan Wawasan Kebangsaan dan Ketahanan Nasional dalam rangka Memantapkan Pengalamam Pancasila, Pelaksanaan Undang-Undang Dasar Negara Republik Indonesia Tahun 1945,Pelestarian Bhineka Tunggal Ika serta Pemertahanan dan Pemeliharaan keutuhan Negara Kesatuan</t>
  </si>
  <si>
    <t xml:space="preserve">Pembinaan Kerukunan Antar suku dan Intrasuku, Umat Beragama, Ras dan Golongan Lainnya Guna Mewujudkan Stabilitas Keamanan lokal, Regional, dan Nasional </t>
  </si>
  <si>
    <t>Pelaksanaan semua Urusan Pemerintahan yang bukan merupakan Kewenangan Daerah dan tidak dilaksanakan oleh Instalansi Vertikal</t>
  </si>
  <si>
    <t>FASILITASI, REKOMENDASI DAN KORDINASI PEMBINAAN DAN PENGAWASAN PEMERINTAHAN DESA</t>
  </si>
  <si>
    <t>Fasilitasi Administrasi Tata Pemerintahan Desa</t>
  </si>
  <si>
    <t>Fasilitasi Pengelolaan Keuangan Desa dan Pendayagunaan Aset Desa</t>
  </si>
  <si>
    <t>Fasilitasi Penataan ,Pemanfaatan, dan Pendayagunaan Ruang Desa Serta Penetapan dan Penegasan Batas Desa</t>
  </si>
  <si>
    <t>7. 01. 06. 2. 01</t>
  </si>
  <si>
    <t>7. 01. 06. 2. 01. 01</t>
  </si>
  <si>
    <t>7. 01. 06. 2. 01. 02</t>
  </si>
  <si>
    <t>7. 01. 06. 2. 01. 03</t>
  </si>
  <si>
    <t>7. 01. 06. 2. 01. 15</t>
  </si>
  <si>
    <t>7. 01. 03. 2. 01</t>
  </si>
  <si>
    <t>7. 01. 03. 2. 01. 01</t>
  </si>
  <si>
    <t>7. 01. 03. 2. 01. 03</t>
  </si>
  <si>
    <t>7. 01. 01. 2. 06</t>
  </si>
  <si>
    <t>7. 01. 01. 2. 06.01</t>
  </si>
  <si>
    <t>7. 01. 01. 2. 01</t>
  </si>
  <si>
    <t>7. 01. 01. 2. 01. 01</t>
  </si>
  <si>
    <t>7. 01. 01. 2. 01. 06</t>
  </si>
  <si>
    <t>7. 01. 01. 2. 02</t>
  </si>
  <si>
    <t>7. 01. 01. 2. 02. 01</t>
  </si>
  <si>
    <t>KANTOR KECAMATAN TANAH GROGOT</t>
  </si>
  <si>
    <t>Penyediaan Gaji dan Tunjangan ASN</t>
  </si>
  <si>
    <t>7. 01. 01. 2. 02. 04</t>
  </si>
  <si>
    <t>7. 01. 01. 2. 06. 04</t>
  </si>
  <si>
    <t>7. 01. 01. 2. 06. 05</t>
  </si>
  <si>
    <t>7. 01. 01. 2. 06. 09</t>
  </si>
  <si>
    <t>7. 01. 01. 2. 08</t>
  </si>
  <si>
    <t>7. 01. 01. 2. 08. 02</t>
  </si>
  <si>
    <t>7. 01. 01. 2. 09</t>
  </si>
  <si>
    <t>7. 01. 01. 2. 09. 09</t>
  </si>
  <si>
    <t>7. 01. 01. 2. 09. 10</t>
  </si>
  <si>
    <t>7. 01 .04. 2. 02. 01</t>
  </si>
  <si>
    <t>7. 01 . 04. 2. 01</t>
  </si>
  <si>
    <t>7. 01 . 04. 2. 02</t>
  </si>
  <si>
    <t>7. 01 . 04. 2. 01. 01</t>
  </si>
  <si>
    <t>PENYELENGGARAAN URUSAN PEMERINTAHAN UMUM SESUAI PENUGASAN KEPALA DAERAH</t>
  </si>
  <si>
    <t>7. 01 . 05. 2. 01</t>
  </si>
  <si>
    <t>7. 01 . 05. 2. 01. 01</t>
  </si>
  <si>
    <t>7. 01 . 05. 2. 01. 04</t>
  </si>
  <si>
    <t>7. 01 . 05. 2. 01. 07</t>
  </si>
  <si>
    <t>7. 01. 02. 2. 02</t>
  </si>
  <si>
    <t>7. 01. 02. 2. 04</t>
  </si>
  <si>
    <t>7. 01. 02. 2. 04. 03</t>
  </si>
  <si>
    <t>7. 01. 01</t>
  </si>
  <si>
    <t>PROGRAM PENUNJANGAN URUSAN PEMERINTAHAN DAERAH KABUPATEN / KOTA</t>
  </si>
  <si>
    <t>7. 01. 02</t>
  </si>
  <si>
    <t>PROGRAM PENYELENGGARAAN PEMERINTAHAN DAN PELAYANAN PUBLIK</t>
  </si>
  <si>
    <t>7. 01. 03</t>
  </si>
  <si>
    <t>PROGRAM PEMBERDAYAAN MASYARAKAT DESA DAN KELURAHAN</t>
  </si>
  <si>
    <t>7. 01 . 04</t>
  </si>
  <si>
    <t>PRGRAM KOORDINASI KETENTRAMAN DAN KETERTIBAN UMUM</t>
  </si>
  <si>
    <t>7. 01 . 05</t>
  </si>
  <si>
    <t xml:space="preserve">PROGRAM PENYELENGGARAAN URUSAN PEMERINTAHAN UMUM </t>
  </si>
  <si>
    <t>7. 01. 06</t>
  </si>
  <si>
    <t>PROGRAM PEMBINAAN DAN PENGAWASAN PEMERINTAHAN DESA</t>
  </si>
  <si>
    <t>SKPD</t>
  </si>
  <si>
    <t>7. 01. 02. 2. 02. 03</t>
  </si>
  <si>
    <t>7. 01. 03. 2. 02</t>
  </si>
  <si>
    <t>KEGIATAN PEMBERDAYAAN KELURAHAN</t>
  </si>
  <si>
    <t>7. 01. 03. 2. 02. 01</t>
  </si>
  <si>
    <t xml:space="preserve">Peningkatan Partisipasi Masyarakat dalam Forum Musyawarah Perencanaan Pembangunan Di Kelurahan </t>
  </si>
  <si>
    <t>7. 01. 03. 2. 02. 03</t>
  </si>
  <si>
    <t>Pemberdayaan  Masyarakat di Kelurahan</t>
  </si>
  <si>
    <t>7. 01. 01. 2. 07</t>
  </si>
  <si>
    <t>PENGADAAN BARANG MILIK DAERAH PENUNJANG URUSAN PEMERINTAHAN DAERAH</t>
  </si>
  <si>
    <t>7. 01. 01. 2. 07. 06</t>
  </si>
  <si>
    <t>Pengadaan Peralatan dan Mesin lainnya</t>
  </si>
  <si>
    <t>Pemeliharaan/Rehabilitasi Sarana dan Prasarana Gedung Kantor atau Bangunan Lainnya</t>
  </si>
  <si>
    <t xml:space="preserve">Sinergitas dengan Kepolisian Negara Republik Indonesia, Tentara Nasional Indonesia dan Instansi Vertikal di Wilayah Kecamatan </t>
  </si>
  <si>
    <t>Evaluasi Kinerja Perangkat Daerah</t>
  </si>
  <si>
    <t>7. 01. 01. 2. 02. 05</t>
  </si>
  <si>
    <t>Koordinasi dan Penyusunan Laporan Keuangan AkhirTahun SKPD</t>
  </si>
  <si>
    <t>7. 01. 01. 2. 08. 01</t>
  </si>
  <si>
    <t>Penyediaan Jasa Surat Menyurat</t>
  </si>
  <si>
    <t>7. 01 . 04. 2. 03. 02</t>
  </si>
  <si>
    <t>7. 01. 03. 2. 02. 04</t>
  </si>
  <si>
    <t>Evaluasi Kelurahan</t>
  </si>
  <si>
    <t>ORGANISASI</t>
  </si>
  <si>
    <t>BELANJA</t>
  </si>
  <si>
    <t>BELANJA OPERASI</t>
  </si>
  <si>
    <t>01</t>
  </si>
  <si>
    <t>Belanja Pegawai</t>
  </si>
  <si>
    <t>02</t>
  </si>
  <si>
    <t>Belanja Barang dan Jasa</t>
  </si>
  <si>
    <t>BELANJA MODAL</t>
  </si>
  <si>
    <t>Belanja Modal Peralatan dan Mesin</t>
  </si>
  <si>
    <t>03</t>
  </si>
  <si>
    <t>Belanja Modal Gedung dan Bangunan</t>
  </si>
  <si>
    <t>04</t>
  </si>
  <si>
    <t>Belanja Modal Jalan, Jaringan, dan Irigasi</t>
  </si>
  <si>
    <t xml:space="preserve">Pemeliharaan/Rehabilitasi Gedung Kantor dan Bangunan Lainnya </t>
  </si>
  <si>
    <t>KANTOR KELURAHAN TANAH GROGOT</t>
  </si>
  <si>
    <t>Fasilitasi Percepatan Pencapaian Standar Pelayanan Minimal di Wilayah Kecamatan</t>
  </si>
  <si>
    <t>Pemeliharaan Peralatan dan Mesin Lainnya</t>
  </si>
  <si>
    <t>Fasilitasi Penyusunan Peraturan Desa dan Peraturan Kepala Desa</t>
  </si>
  <si>
    <t>Fasilitasi Pelaksanaan Pemilihan Kepala Desa</t>
  </si>
  <si>
    <t>7. 01. 06. 2. 01. 06</t>
  </si>
  <si>
    <t>Pemeliharaan/Rehabilitasi Sarana dan Prasarana Pendukung Gedung Kantor atau Bangunan Lainnya</t>
  </si>
  <si>
    <t>7. 01. 01. 2. 09. 11</t>
  </si>
  <si>
    <t>Koordinasi dan Penyusunan Laporan Keuangan Akhir Tahun SKPD</t>
  </si>
  <si>
    <t>KECAMATAN TANAH GROGOT</t>
  </si>
  <si>
    <t>KABUPATEN PASER TAHUN ANGGARAN 2023</t>
  </si>
  <si>
    <t>FASILITASI, REKOMENDASI DAN KOORDINASI PEMBINAAN DAN PENGAWASAN PEMERINTAHAN DESA</t>
  </si>
  <si>
    <t>7. 01. 02. 2. 02. 02</t>
  </si>
  <si>
    <t>7. 01. 03. 2. 06</t>
  </si>
  <si>
    <t>PEMBERDAYAN DAN KESEJAHTERAAN KELUARGA TINGKAT KECAMATAN DAN KELURAHAN</t>
  </si>
  <si>
    <t>7. 01. 03. 2. 06. 02</t>
  </si>
  <si>
    <t>7. 01. 03. 2. 06. 07</t>
  </si>
  <si>
    <t>Peningkatan Kesadaran Keluarga dalam Membangun Kerja Sama antar Keluarga, Warga, dan Kelompok Masyarakat</t>
  </si>
  <si>
    <t>Penumbuhan Kesadaran Keluarga dalam Peningkatan Derajat Kesehatan Keluarga dan Lingkungan Menerapkan Perilaku Hidup Bersih dan Sehat</t>
  </si>
  <si>
    <t>7. 01 . 04. 2. 01. 02</t>
  </si>
  <si>
    <t>Abdul Rasyid, S.STP., M.A</t>
  </si>
  <si>
    <t>NIP.19790716 200003 1 001</t>
  </si>
  <si>
    <t>7. 01.0.00.0.00.00.0000 KECAMATAN TANAH GROGOT</t>
  </si>
  <si>
    <t>FEBRUARI</t>
  </si>
  <si>
    <t xml:space="preserve">Koordinasi/Sinergi Dengan Perangkat Daerah Yang Tugas dan Fungsinya di Bidang Penegakan Reraturan Perundang-Undangan dan/atau Kepolisian Negara RI </t>
  </si>
  <si>
    <t>Maret</t>
  </si>
  <si>
    <t>LS</t>
  </si>
  <si>
    <t>GU</t>
  </si>
  <si>
    <t>Februari</t>
  </si>
  <si>
    <t>Januari</t>
  </si>
  <si>
    <t>MARET</t>
  </si>
  <si>
    <t>Tana Paser, 03  April  2023</t>
  </si>
  <si>
    <t xml:space="preserve"> Tana Paser, 03  April  2023</t>
  </si>
  <si>
    <t>Tana Paser, 03 April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</si>
</sst>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;[Red]0.00"/>
    <numFmt numFmtId="169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rgb="FF000000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22"/>
      <name val="Bauhaus 93"/>
      <family val="5"/>
    </font>
    <font>
      <sz val="11"/>
      <name val="Arial"/>
      <family val="2"/>
    </font>
    <font>
      <b/>
      <u val="singleAccounting"/>
      <sz val="12"/>
      <name val="Arial Narrow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 Narrow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theme="0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theme="0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theme="0"/>
      </diagonal>
    </border>
  </borders>
  <cellStyleXfs count="282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3">
    <xf numFmtId="0" fontId="0" fillId="0" borderId="0" xfId="0"/>
    <xf numFmtId="0" fontId="6" fillId="0" borderId="1" xfId="4" applyFont="1" applyBorder="1" applyAlignment="1">
      <alignment horizontal="left"/>
    </xf>
    <xf numFmtId="0" fontId="6" fillId="0" borderId="0" xfId="4" applyFont="1"/>
    <xf numFmtId="0" fontId="6" fillId="0" borderId="0" xfId="4" applyFont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left"/>
    </xf>
    <xf numFmtId="167" fontId="6" fillId="0" borderId="2" xfId="5" applyNumberFormat="1" applyFont="1" applyFill="1" applyBorder="1" applyAlignment="1">
      <alignment horizontal="center"/>
    </xf>
    <xf numFmtId="49" fontId="6" fillId="0" borderId="0" xfId="4" applyNumberFormat="1" applyFont="1" applyAlignment="1">
      <alignment horizontal="left"/>
    </xf>
    <xf numFmtId="167" fontId="7" fillId="0" borderId="0" xfId="5" applyNumberFormat="1" applyFont="1" applyFill="1" applyBorder="1" applyAlignment="1">
      <alignment horizontal="center" vertical="center"/>
    </xf>
    <xf numFmtId="167" fontId="7" fillId="0" borderId="8" xfId="5" applyNumberFormat="1" applyFont="1" applyFill="1" applyBorder="1" applyAlignment="1">
      <alignment horizontal="center" vertical="center"/>
    </xf>
    <xf numFmtId="167" fontId="7" fillId="0" borderId="8" xfId="5" applyNumberFormat="1" applyFont="1" applyFill="1" applyBorder="1" applyAlignment="1">
      <alignment horizontal="center" vertical="center" wrapText="1"/>
    </xf>
    <xf numFmtId="0" fontId="6" fillId="0" borderId="11" xfId="4" applyFont="1" applyBorder="1" applyAlignment="1">
      <alignment horizontal="left"/>
    </xf>
    <xf numFmtId="0" fontId="6" fillId="0" borderId="12" xfId="4" applyFont="1" applyBorder="1"/>
    <xf numFmtId="0" fontId="6" fillId="0" borderId="13" xfId="4" applyFont="1" applyBorder="1"/>
    <xf numFmtId="0" fontId="8" fillId="0" borderId="14" xfId="4" applyFont="1" applyBorder="1"/>
    <xf numFmtId="167" fontId="6" fillId="0" borderId="11" xfId="5" applyNumberFormat="1" applyFont="1" applyFill="1" applyBorder="1"/>
    <xf numFmtId="167" fontId="8" fillId="0" borderId="11" xfId="5" applyNumberFormat="1" applyFont="1" applyFill="1" applyBorder="1"/>
    <xf numFmtId="167" fontId="8" fillId="0" borderId="0" xfId="5" applyNumberFormat="1" applyFont="1" applyFill="1" applyBorder="1"/>
    <xf numFmtId="0" fontId="9" fillId="0" borderId="15" xfId="4" applyFont="1" applyBorder="1" applyAlignment="1">
      <alignment vertical="top"/>
    </xf>
    <xf numFmtId="0" fontId="10" fillId="0" borderId="16" xfId="4" applyFont="1" applyBorder="1" applyAlignment="1">
      <alignment vertical="top"/>
    </xf>
    <xf numFmtId="0" fontId="9" fillId="0" borderId="17" xfId="4" applyFont="1" applyBorder="1" applyAlignment="1">
      <alignment horizontal="left" vertical="top"/>
    </xf>
    <xf numFmtId="0" fontId="9" fillId="0" borderId="18" xfId="4" applyFont="1" applyBorder="1" applyAlignment="1">
      <alignment horizontal="left" vertical="top"/>
    </xf>
    <xf numFmtId="167" fontId="9" fillId="0" borderId="15" xfId="5" applyNumberFormat="1" applyFont="1" applyFill="1" applyBorder="1" applyAlignment="1">
      <alignment horizontal="right" vertical="top"/>
    </xf>
    <xf numFmtId="167" fontId="6" fillId="0" borderId="15" xfId="5" applyNumberFormat="1" applyFont="1" applyFill="1" applyBorder="1" applyAlignment="1">
      <alignment horizontal="right"/>
    </xf>
    <xf numFmtId="167" fontId="6" fillId="0" borderId="0" xfId="5" applyNumberFormat="1" applyFont="1" applyFill="1" applyBorder="1"/>
    <xf numFmtId="0" fontId="11" fillId="0" borderId="15" xfId="4" applyFont="1" applyBorder="1" applyAlignment="1">
      <alignment vertical="top"/>
    </xf>
    <xf numFmtId="0" fontId="12" fillId="0" borderId="16" xfId="4" applyFont="1" applyBorder="1" applyAlignment="1">
      <alignment vertical="top"/>
    </xf>
    <xf numFmtId="0" fontId="8" fillId="0" borderId="17" xfId="4" applyFont="1" applyBorder="1" applyAlignment="1">
      <alignment horizontal="left"/>
    </xf>
    <xf numFmtId="0" fontId="8" fillId="0" borderId="18" xfId="4" applyFont="1" applyBorder="1" applyAlignment="1">
      <alignment horizontal="left"/>
    </xf>
    <xf numFmtId="167" fontId="11" fillId="0" borderId="15" xfId="5" applyNumberFormat="1" applyFont="1" applyFill="1" applyBorder="1" applyAlignment="1">
      <alignment horizontal="right" vertical="top"/>
    </xf>
    <xf numFmtId="167" fontId="8" fillId="0" borderId="15" xfId="5" applyNumberFormat="1" applyFont="1" applyFill="1" applyBorder="1" applyAlignment="1">
      <alignment horizontal="right"/>
    </xf>
    <xf numFmtId="168" fontId="8" fillId="0" borderId="15" xfId="3" applyNumberFormat="1" applyFont="1" applyFill="1" applyBorder="1" applyAlignment="1">
      <alignment horizontal="right"/>
    </xf>
    <xf numFmtId="39" fontId="8" fillId="0" borderId="15" xfId="5" applyNumberFormat="1" applyFont="1" applyFill="1" applyBorder="1" applyAlignment="1" applyProtection="1">
      <alignment horizontal="right"/>
      <protection locked="0"/>
    </xf>
    <xf numFmtId="2" fontId="8" fillId="0" borderId="15" xfId="3" applyNumberFormat="1" applyFont="1" applyFill="1" applyBorder="1" applyAlignment="1">
      <alignment horizontal="right"/>
    </xf>
    <xf numFmtId="168" fontId="13" fillId="0" borderId="15" xfId="6" applyNumberFormat="1" applyFont="1" applyFill="1" applyBorder="1" applyAlignment="1" applyProtection="1">
      <alignment horizontal="right"/>
      <protection locked="0"/>
    </xf>
    <xf numFmtId="166" fontId="8" fillId="0" borderId="15" xfId="1" applyFont="1" applyFill="1" applyBorder="1" applyAlignment="1">
      <alignment horizontal="right"/>
    </xf>
    <xf numFmtId="167" fontId="13" fillId="0" borderId="15" xfId="5" applyNumberFormat="1" applyFont="1" applyFill="1" applyBorder="1" applyAlignment="1">
      <alignment horizontal="right"/>
    </xf>
    <xf numFmtId="167" fontId="13" fillId="0" borderId="0" xfId="5" applyNumberFormat="1" applyFont="1" applyFill="1" applyBorder="1"/>
    <xf numFmtId="166" fontId="0" fillId="0" borderId="0" xfId="0" applyNumberFormat="1"/>
    <xf numFmtId="0" fontId="12" fillId="0" borderId="16" xfId="4" applyFont="1" applyBorder="1" applyAlignment="1">
      <alignment vertical="top" wrapText="1"/>
    </xf>
    <xf numFmtId="0" fontId="6" fillId="0" borderId="17" xfId="4" applyFont="1" applyBorder="1" applyAlignment="1">
      <alignment horizontal="left"/>
    </xf>
    <xf numFmtId="0" fontId="6" fillId="0" borderId="18" xfId="4" applyFont="1" applyBorder="1" applyAlignment="1">
      <alignment horizontal="left"/>
    </xf>
    <xf numFmtId="0" fontId="10" fillId="0" borderId="16" xfId="4" applyFont="1" applyBorder="1" applyAlignment="1">
      <alignment vertical="top" wrapText="1"/>
    </xf>
    <xf numFmtId="167" fontId="8" fillId="0" borderId="15" xfId="5" applyNumberFormat="1" applyFont="1" applyFill="1" applyBorder="1" applyAlignment="1" applyProtection="1">
      <alignment horizontal="right"/>
      <protection locked="0"/>
    </xf>
    <xf numFmtId="167" fontId="9" fillId="0" borderId="15" xfId="5" applyNumberFormat="1" applyFont="1" applyFill="1" applyBorder="1" applyAlignment="1">
      <alignment horizontal="right" vertical="center"/>
    </xf>
    <xf numFmtId="0" fontId="11" fillId="0" borderId="19" xfId="4" applyFont="1" applyBorder="1" applyAlignment="1">
      <alignment vertical="top"/>
    </xf>
    <xf numFmtId="0" fontId="12" fillId="0" borderId="20" xfId="4" applyFont="1" applyBorder="1" applyAlignment="1">
      <alignment vertical="top" wrapText="1"/>
    </xf>
    <xf numFmtId="0" fontId="8" fillId="0" borderId="21" xfId="4" applyFont="1" applyBorder="1" applyAlignment="1">
      <alignment horizontal="left"/>
    </xf>
    <xf numFmtId="0" fontId="8" fillId="0" borderId="22" xfId="4" applyFont="1" applyBorder="1" applyAlignment="1">
      <alignment horizontal="left"/>
    </xf>
    <xf numFmtId="167" fontId="11" fillId="0" borderId="19" xfId="5" applyNumberFormat="1" applyFont="1" applyFill="1" applyBorder="1" applyAlignment="1">
      <alignment horizontal="right" vertical="top"/>
    </xf>
    <xf numFmtId="167" fontId="8" fillId="0" borderId="19" xfId="5" applyNumberFormat="1" applyFont="1" applyFill="1" applyBorder="1" applyAlignment="1">
      <alignment horizontal="right"/>
    </xf>
    <xf numFmtId="168" fontId="8" fillId="0" borderId="19" xfId="3" applyNumberFormat="1" applyFont="1" applyFill="1" applyBorder="1" applyAlignment="1">
      <alignment horizontal="right"/>
    </xf>
    <xf numFmtId="39" fontId="8" fillId="0" borderId="19" xfId="5" applyNumberFormat="1" applyFont="1" applyFill="1" applyBorder="1" applyAlignment="1" applyProtection="1">
      <alignment horizontal="right"/>
      <protection locked="0"/>
    </xf>
    <xf numFmtId="2" fontId="8" fillId="0" borderId="19" xfId="3" applyNumberFormat="1" applyFont="1" applyFill="1" applyBorder="1" applyAlignment="1">
      <alignment horizontal="right"/>
    </xf>
    <xf numFmtId="168" fontId="13" fillId="0" borderId="19" xfId="6" applyNumberFormat="1" applyFont="1" applyFill="1" applyBorder="1" applyAlignment="1" applyProtection="1">
      <alignment horizontal="right"/>
      <protection locked="0"/>
    </xf>
    <xf numFmtId="166" fontId="8" fillId="0" borderId="19" xfId="1" applyFont="1" applyFill="1" applyBorder="1" applyAlignment="1">
      <alignment horizontal="right"/>
    </xf>
    <xf numFmtId="167" fontId="6" fillId="0" borderId="6" xfId="5" applyNumberFormat="1" applyFont="1" applyFill="1" applyBorder="1" applyAlignment="1">
      <alignment horizontal="right"/>
    </xf>
    <xf numFmtId="2" fontId="6" fillId="0" borderId="6" xfId="3" applyNumberFormat="1" applyFont="1" applyFill="1" applyBorder="1" applyAlignment="1">
      <alignment horizontal="right"/>
    </xf>
    <xf numFmtId="10" fontId="6" fillId="0" borderId="6" xfId="3" applyNumberFormat="1" applyFont="1" applyFill="1" applyBorder="1" applyAlignment="1">
      <alignment horizontal="center"/>
    </xf>
    <xf numFmtId="167" fontId="6" fillId="0" borderId="6" xfId="5" applyNumberFormat="1" applyFont="1" applyFill="1" applyBorder="1"/>
    <xf numFmtId="0" fontId="8" fillId="0" borderId="1" xfId="5" applyNumberFormat="1" applyFont="1" applyFill="1" applyBorder="1" applyAlignment="1"/>
    <xf numFmtId="167" fontId="14" fillId="0" borderId="0" xfId="5" applyNumberFormat="1" applyFont="1" applyFill="1" applyBorder="1" applyAlignment="1">
      <alignment horizontal="right"/>
    </xf>
    <xf numFmtId="167" fontId="8" fillId="0" borderId="0" xfId="5" applyNumberFormat="1" applyFont="1" applyFill="1" applyBorder="1" applyAlignment="1">
      <alignment horizontal="right"/>
    </xf>
    <xf numFmtId="167" fontId="8" fillId="0" borderId="26" xfId="5" applyNumberFormat="1" applyFont="1" applyFill="1" applyBorder="1" applyAlignment="1">
      <alignment horizontal="right"/>
    </xf>
    <xf numFmtId="167" fontId="8" fillId="0" borderId="2" xfId="5" applyNumberFormat="1" applyFont="1" applyFill="1" applyBorder="1" applyAlignment="1">
      <alignment horizontal="right"/>
    </xf>
    <xf numFmtId="167" fontId="6" fillId="0" borderId="0" xfId="5" applyNumberFormat="1" applyFont="1" applyFill="1" applyBorder="1" applyAlignment="1">
      <alignment horizontal="right"/>
    </xf>
    <xf numFmtId="166" fontId="15" fillId="0" borderId="0" xfId="7" applyFont="1" applyFill="1" applyBorder="1" applyAlignment="1">
      <alignment horizontal="center"/>
    </xf>
    <xf numFmtId="0" fontId="16" fillId="0" borderId="27" xfId="4" applyFont="1" applyBorder="1" applyAlignment="1">
      <alignment horizontal="left"/>
    </xf>
    <xf numFmtId="0" fontId="16" fillId="0" borderId="4" xfId="4" applyFont="1" applyBorder="1"/>
    <xf numFmtId="167" fontId="16" fillId="0" borderId="4" xfId="5" applyNumberFormat="1" applyFont="1" applyFill="1" applyBorder="1"/>
    <xf numFmtId="167" fontId="16" fillId="0" borderId="5" xfId="5" applyNumberFormat="1" applyFont="1" applyFill="1" applyBorder="1"/>
    <xf numFmtId="167" fontId="16" fillId="0" borderId="0" xfId="5" applyNumberFormat="1" applyFont="1" applyFill="1" applyBorder="1"/>
    <xf numFmtId="167" fontId="0" fillId="0" borderId="0" xfId="0" applyNumberFormat="1"/>
    <xf numFmtId="0" fontId="8" fillId="0" borderId="28" xfId="5" applyNumberFormat="1" applyFont="1" applyFill="1" applyBorder="1" applyAlignment="1"/>
    <xf numFmtId="167" fontId="8" fillId="0" borderId="9" xfId="5" applyNumberFormat="1" applyFont="1" applyFill="1" applyBorder="1"/>
    <xf numFmtId="169" fontId="8" fillId="0" borderId="9" xfId="5" applyNumberFormat="1" applyFont="1" applyFill="1" applyBorder="1" applyAlignment="1">
      <alignment horizontal="right"/>
    </xf>
    <xf numFmtId="167" fontId="8" fillId="0" borderId="9" xfId="5" applyNumberFormat="1" applyFont="1" applyFill="1" applyBorder="1" applyAlignment="1">
      <alignment horizontal="right"/>
    </xf>
    <xf numFmtId="167" fontId="6" fillId="0" borderId="9" xfId="5" applyNumberFormat="1" applyFont="1" applyFill="1" applyBorder="1" applyAlignment="1">
      <alignment horizontal="right"/>
    </xf>
    <xf numFmtId="0" fontId="0" fillId="0" borderId="9" xfId="0" applyBorder="1"/>
    <xf numFmtId="167" fontId="8" fillId="0" borderId="29" xfId="5" applyNumberFormat="1" applyFont="1" applyFill="1" applyBorder="1" applyAlignment="1">
      <alignment horizontal="right"/>
    </xf>
    <xf numFmtId="167" fontId="8" fillId="0" borderId="10" xfId="5" applyNumberFormat="1" applyFont="1" applyFill="1" applyBorder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9" fontId="0" fillId="0" borderId="0" xfId="3" applyFont="1" applyFill="1" applyAlignment="1">
      <alignment horizontal="right"/>
    </xf>
    <xf numFmtId="10" fontId="0" fillId="0" borderId="0" xfId="0" applyNumberFormat="1" applyAlignment="1">
      <alignment horizontal="right"/>
    </xf>
    <xf numFmtId="165" fontId="15" fillId="0" borderId="0" xfId="2" applyFont="1" applyFill="1" applyBorder="1" applyAlignment="1">
      <alignment horizontal="center"/>
    </xf>
    <xf numFmtId="165" fontId="0" fillId="0" borderId="0" xfId="2" applyFont="1" applyFill="1"/>
    <xf numFmtId="165" fontId="16" fillId="0" borderId="27" xfId="2" applyFont="1" applyFill="1" applyBorder="1" applyAlignment="1">
      <alignment horizontal="left"/>
    </xf>
    <xf numFmtId="165" fontId="16" fillId="0" borderId="4" xfId="2" applyFont="1" applyFill="1" applyBorder="1"/>
    <xf numFmtId="165" fontId="16" fillId="0" borderId="5" xfId="2" applyFont="1" applyFill="1" applyBorder="1"/>
    <xf numFmtId="165" fontId="16" fillId="0" borderId="0" xfId="2" applyFont="1" applyFill="1" applyBorder="1"/>
    <xf numFmtId="165" fontId="6" fillId="0" borderId="1" xfId="2" applyFont="1" applyFill="1" applyBorder="1" applyAlignment="1">
      <alignment horizontal="left"/>
    </xf>
    <xf numFmtId="165" fontId="6" fillId="0" borderId="0" xfId="2" applyFont="1" applyFill="1" applyBorder="1"/>
    <xf numFmtId="165" fontId="6" fillId="0" borderId="0" xfId="2" applyFont="1" applyFill="1" applyBorder="1" applyAlignment="1">
      <alignment horizontal="center"/>
    </xf>
    <xf numFmtId="165" fontId="6" fillId="0" borderId="0" xfId="2" applyFont="1" applyFill="1" applyBorder="1" applyAlignment="1">
      <alignment horizontal="left"/>
    </xf>
    <xf numFmtId="165" fontId="6" fillId="0" borderId="2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 vertical="center"/>
    </xf>
    <xf numFmtId="165" fontId="7" fillId="0" borderId="8" xfId="2" applyFont="1" applyFill="1" applyBorder="1" applyAlignment="1">
      <alignment horizontal="center" vertical="center"/>
    </xf>
    <xf numFmtId="165" fontId="7" fillId="0" borderId="8" xfId="2" applyFont="1" applyFill="1" applyBorder="1" applyAlignment="1">
      <alignment horizontal="center" vertical="center" wrapText="1"/>
    </xf>
    <xf numFmtId="165" fontId="6" fillId="0" borderId="11" xfId="2" applyFont="1" applyFill="1" applyBorder="1" applyAlignment="1">
      <alignment horizontal="left"/>
    </xf>
    <xf numFmtId="165" fontId="6" fillId="0" borderId="12" xfId="2" applyFont="1" applyFill="1" applyBorder="1"/>
    <xf numFmtId="165" fontId="6" fillId="0" borderId="13" xfId="2" applyFont="1" applyFill="1" applyBorder="1"/>
    <xf numFmtId="165" fontId="8" fillId="0" borderId="14" xfId="2" applyFont="1" applyFill="1" applyBorder="1"/>
    <xf numFmtId="165" fontId="8" fillId="0" borderId="11" xfId="2" applyFont="1" applyFill="1" applyBorder="1"/>
    <xf numFmtId="165" fontId="8" fillId="0" borderId="0" xfId="2" applyFont="1" applyFill="1" applyBorder="1"/>
    <xf numFmtId="165" fontId="9" fillId="0" borderId="17" xfId="2" applyFont="1" applyFill="1" applyBorder="1" applyAlignment="1">
      <alignment horizontal="left" vertical="top"/>
    </xf>
    <xf numFmtId="165" fontId="9" fillId="0" borderId="18" xfId="2" applyFont="1" applyFill="1" applyBorder="1" applyAlignment="1">
      <alignment horizontal="left" vertical="top"/>
    </xf>
    <xf numFmtId="165" fontId="9" fillId="0" borderId="15" xfId="2" applyFont="1" applyFill="1" applyBorder="1" applyAlignment="1">
      <alignment horizontal="right" vertical="top"/>
    </xf>
    <xf numFmtId="165" fontId="8" fillId="0" borderId="15" xfId="2" applyFont="1" applyFill="1" applyBorder="1" applyAlignment="1">
      <alignment vertical="top"/>
    </xf>
    <xf numFmtId="165" fontId="12" fillId="0" borderId="16" xfId="2" applyFont="1" applyFill="1" applyBorder="1" applyAlignment="1">
      <alignment vertical="top"/>
    </xf>
    <xf numFmtId="165" fontId="8" fillId="0" borderId="17" xfId="2" applyFont="1" applyFill="1" applyBorder="1" applyAlignment="1">
      <alignment horizontal="left"/>
    </xf>
    <xf numFmtId="165" fontId="8" fillId="0" borderId="18" xfId="2" applyFont="1" applyFill="1" applyBorder="1" applyAlignment="1">
      <alignment horizontal="left"/>
    </xf>
    <xf numFmtId="165" fontId="8" fillId="0" borderId="15" xfId="2" applyFont="1" applyFill="1" applyBorder="1" applyAlignment="1">
      <alignment horizontal="right"/>
    </xf>
    <xf numFmtId="165" fontId="8" fillId="0" borderId="15" xfId="2" applyFont="1" applyFill="1" applyBorder="1" applyAlignment="1" applyProtection="1">
      <alignment horizontal="right"/>
      <protection locked="0"/>
    </xf>
    <xf numFmtId="165" fontId="11" fillId="0" borderId="15" xfId="2" applyFont="1" applyFill="1" applyBorder="1" applyAlignment="1">
      <alignment horizontal="right" vertical="top"/>
    </xf>
    <xf numFmtId="165" fontId="13" fillId="0" borderId="15" xfId="2" applyFont="1" applyFill="1" applyBorder="1" applyAlignment="1">
      <alignment horizontal="right"/>
    </xf>
    <xf numFmtId="165" fontId="13" fillId="0" borderId="0" xfId="2" applyFont="1" applyFill="1" applyBorder="1"/>
    <xf numFmtId="165" fontId="12" fillId="0" borderId="16" xfId="2" applyFont="1" applyFill="1" applyBorder="1" applyAlignment="1">
      <alignment vertical="top" wrapText="1"/>
    </xf>
    <xf numFmtId="165" fontId="12" fillId="0" borderId="16" xfId="2" applyFont="1" applyFill="1" applyBorder="1" applyAlignment="1">
      <alignment horizontal="left" vertical="top" wrapText="1"/>
    </xf>
    <xf numFmtId="165" fontId="12" fillId="0" borderId="17" xfId="2" applyFont="1" applyFill="1" applyBorder="1" applyAlignment="1">
      <alignment horizontal="left" vertical="top" wrapText="1"/>
    </xf>
    <xf numFmtId="165" fontId="12" fillId="0" borderId="18" xfId="2" applyFont="1" applyFill="1" applyBorder="1" applyAlignment="1">
      <alignment horizontal="left" vertical="top" wrapText="1"/>
    </xf>
    <xf numFmtId="165" fontId="11" fillId="0" borderId="15" xfId="2" applyFont="1" applyFill="1" applyBorder="1" applyAlignment="1">
      <alignment vertical="top"/>
    </xf>
    <xf numFmtId="165" fontId="6" fillId="0" borderId="17" xfId="2" applyFont="1" applyFill="1" applyBorder="1" applyAlignment="1">
      <alignment horizontal="left"/>
    </xf>
    <xf numFmtId="165" fontId="6" fillId="0" borderId="18" xfId="2" applyFont="1" applyFill="1" applyBorder="1" applyAlignment="1">
      <alignment horizontal="left"/>
    </xf>
    <xf numFmtId="165" fontId="10" fillId="0" borderId="17" xfId="2" applyFont="1" applyFill="1" applyBorder="1" applyAlignment="1">
      <alignment horizontal="left" vertical="top" wrapText="1"/>
    </xf>
    <xf numFmtId="165" fontId="10" fillId="0" borderId="18" xfId="2" applyFont="1" applyFill="1" applyBorder="1" applyAlignment="1">
      <alignment horizontal="left" vertical="top" wrapText="1"/>
    </xf>
    <xf numFmtId="165" fontId="11" fillId="0" borderId="19" xfId="2" applyFont="1" applyFill="1" applyBorder="1" applyAlignment="1">
      <alignment vertical="top"/>
    </xf>
    <xf numFmtId="165" fontId="12" fillId="0" borderId="20" xfId="2" applyFont="1" applyFill="1" applyBorder="1" applyAlignment="1">
      <alignment vertical="top" wrapText="1"/>
    </xf>
    <xf numFmtId="165" fontId="8" fillId="0" borderId="21" xfId="2" applyFont="1" applyFill="1" applyBorder="1" applyAlignment="1">
      <alignment horizontal="left"/>
    </xf>
    <xf numFmtId="165" fontId="8" fillId="0" borderId="22" xfId="2" applyFont="1" applyFill="1" applyBorder="1" applyAlignment="1">
      <alignment horizontal="left"/>
    </xf>
    <xf numFmtId="165" fontId="11" fillId="0" borderId="19" xfId="2" applyFont="1" applyFill="1" applyBorder="1" applyAlignment="1">
      <alignment horizontal="right" vertical="top"/>
    </xf>
    <xf numFmtId="165" fontId="8" fillId="0" borderId="19" xfId="2" applyFont="1" applyFill="1" applyBorder="1" applyAlignment="1">
      <alignment horizontal="right"/>
    </xf>
    <xf numFmtId="165" fontId="8" fillId="0" borderId="19" xfId="2" applyFont="1" applyFill="1" applyBorder="1" applyAlignment="1" applyProtection="1">
      <alignment horizontal="right"/>
      <protection locked="0"/>
    </xf>
    <xf numFmtId="165" fontId="11" fillId="0" borderId="30" xfId="2" applyFont="1" applyFill="1" applyBorder="1" applyAlignment="1">
      <alignment vertical="top"/>
    </xf>
    <xf numFmtId="165" fontId="12" fillId="0" borderId="31" xfId="2" applyFont="1" applyFill="1" applyBorder="1" applyAlignment="1">
      <alignment vertical="top" wrapText="1"/>
    </xf>
    <xf numFmtId="165" fontId="8" fillId="0" borderId="32" xfId="2" applyFont="1" applyFill="1" applyBorder="1" applyAlignment="1">
      <alignment horizontal="left"/>
    </xf>
    <xf numFmtId="165" fontId="8" fillId="0" borderId="33" xfId="2" applyFont="1" applyFill="1" applyBorder="1" applyAlignment="1">
      <alignment horizontal="left"/>
    </xf>
    <xf numFmtId="165" fontId="11" fillId="0" borderId="30" xfId="2" applyFont="1" applyFill="1" applyBorder="1" applyAlignment="1">
      <alignment horizontal="right" vertical="top"/>
    </xf>
    <xf numFmtId="165" fontId="8" fillId="0" borderId="30" xfId="2" applyFont="1" applyFill="1" applyBorder="1" applyAlignment="1">
      <alignment horizontal="right"/>
    </xf>
    <xf numFmtId="165" fontId="8" fillId="0" borderId="30" xfId="2" applyFont="1" applyFill="1" applyBorder="1" applyAlignment="1" applyProtection="1">
      <alignment horizontal="right"/>
      <protection locked="0"/>
    </xf>
    <xf numFmtId="165" fontId="11" fillId="0" borderId="28" xfId="2" applyFont="1" applyFill="1" applyBorder="1" applyAlignment="1">
      <alignment vertical="top"/>
    </xf>
    <xf numFmtId="165" fontId="12" fillId="0" borderId="9" xfId="2" applyFont="1" applyFill="1" applyBorder="1" applyAlignment="1">
      <alignment vertical="top" wrapText="1"/>
    </xf>
    <xf numFmtId="165" fontId="8" fillId="0" borderId="9" xfId="2" applyFont="1" applyFill="1" applyBorder="1" applyAlignment="1">
      <alignment horizontal="left"/>
    </xf>
    <xf numFmtId="165" fontId="8" fillId="0" borderId="10" xfId="2" applyFont="1" applyFill="1" applyBorder="1" applyAlignment="1">
      <alignment horizontal="left"/>
    </xf>
    <xf numFmtId="165" fontId="11" fillId="0" borderId="8" xfId="2" applyFont="1" applyFill="1" applyBorder="1" applyAlignment="1">
      <alignment horizontal="right" vertical="top"/>
    </xf>
    <xf numFmtId="165" fontId="8" fillId="0" borderId="8" xfId="2" applyFont="1" applyFill="1" applyBorder="1" applyAlignment="1">
      <alignment horizontal="right"/>
    </xf>
    <xf numFmtId="165" fontId="8" fillId="0" borderId="8" xfId="2" applyFont="1" applyFill="1" applyBorder="1" applyAlignment="1" applyProtection="1">
      <alignment horizontal="right"/>
      <protection locked="0"/>
    </xf>
    <xf numFmtId="165" fontId="6" fillId="0" borderId="6" xfId="2" applyFont="1" applyFill="1" applyBorder="1" applyAlignment="1">
      <alignment horizontal="right"/>
    </xf>
    <xf numFmtId="165" fontId="6" fillId="0" borderId="6" xfId="2" applyFont="1" applyFill="1" applyBorder="1" applyAlignment="1">
      <alignment horizontal="center"/>
    </xf>
    <xf numFmtId="165" fontId="8" fillId="0" borderId="1" xfId="2" applyFont="1" applyFill="1" applyBorder="1" applyAlignment="1"/>
    <xf numFmtId="165" fontId="14" fillId="0" borderId="0" xfId="2" applyFont="1" applyFill="1" applyBorder="1" applyAlignment="1">
      <alignment horizontal="right"/>
    </xf>
    <xf numFmtId="165" fontId="8" fillId="0" borderId="0" xfId="2" applyFont="1" applyFill="1" applyBorder="1" applyAlignment="1">
      <alignment horizontal="right"/>
    </xf>
    <xf numFmtId="165" fontId="8" fillId="0" borderId="26" xfId="2" applyFont="1" applyFill="1" applyBorder="1" applyAlignment="1">
      <alignment horizontal="right"/>
    </xf>
    <xf numFmtId="165" fontId="8" fillId="0" borderId="2" xfId="2" applyFont="1" applyFill="1" applyBorder="1" applyAlignment="1">
      <alignment horizontal="right"/>
    </xf>
    <xf numFmtId="165" fontId="0" fillId="0" borderId="0" xfId="2" applyFont="1" applyFill="1" applyBorder="1"/>
    <xf numFmtId="165" fontId="6" fillId="0" borderId="0" xfId="2" applyFont="1" applyFill="1" applyBorder="1" applyAlignment="1">
      <alignment horizontal="right"/>
    </xf>
    <xf numFmtId="165" fontId="8" fillId="0" borderId="28" xfId="2" applyFont="1" applyFill="1" applyBorder="1" applyAlignment="1"/>
    <xf numFmtId="165" fontId="8" fillId="0" borderId="9" xfId="2" applyFont="1" applyFill="1" applyBorder="1"/>
    <xf numFmtId="165" fontId="8" fillId="0" borderId="9" xfId="2" applyFont="1" applyFill="1" applyBorder="1" applyAlignment="1">
      <alignment horizontal="right"/>
    </xf>
    <xf numFmtId="165" fontId="0" fillId="0" borderId="9" xfId="2" applyFont="1" applyFill="1" applyBorder="1"/>
    <xf numFmtId="165" fontId="8" fillId="0" borderId="29" xfId="2" applyFont="1" applyFill="1" applyBorder="1" applyAlignment="1">
      <alignment horizontal="right"/>
    </xf>
    <xf numFmtId="165" fontId="8" fillId="0" borderId="10" xfId="2" applyFont="1" applyFill="1" applyBorder="1" applyAlignment="1">
      <alignment horizontal="right"/>
    </xf>
    <xf numFmtId="165" fontId="18" fillId="0" borderId="0" xfId="2" applyFont="1" applyFill="1"/>
    <xf numFmtId="165" fontId="18" fillId="0" borderId="0" xfId="2" applyFont="1" applyFill="1" applyAlignment="1">
      <alignment horizontal="right"/>
    </xf>
    <xf numFmtId="165" fontId="0" fillId="0" borderId="0" xfId="2" applyFont="1" applyFill="1" applyAlignment="1">
      <alignment horizontal="right"/>
    </xf>
    <xf numFmtId="167" fontId="9" fillId="0" borderId="15" xfId="2" applyNumberFormat="1" applyFont="1" applyFill="1" applyBorder="1" applyAlignment="1">
      <alignment horizontal="right" vertical="top"/>
    </xf>
    <xf numFmtId="167" fontId="8" fillId="0" borderId="15" xfId="2" applyNumberFormat="1" applyFont="1" applyFill="1" applyBorder="1" applyAlignment="1">
      <alignment horizontal="right"/>
    </xf>
    <xf numFmtId="167" fontId="8" fillId="0" borderId="19" xfId="2" applyNumberFormat="1" applyFont="1" applyFill="1" applyBorder="1" applyAlignment="1">
      <alignment horizontal="right"/>
    </xf>
    <xf numFmtId="167" fontId="8" fillId="0" borderId="30" xfId="2" applyNumberFormat="1" applyFont="1" applyFill="1" applyBorder="1" applyAlignment="1">
      <alignment horizontal="right"/>
    </xf>
    <xf numFmtId="167" fontId="8" fillId="0" borderId="8" xfId="2" applyNumberFormat="1" applyFont="1" applyFill="1" applyBorder="1" applyAlignment="1">
      <alignment horizontal="right"/>
    </xf>
    <xf numFmtId="167" fontId="6" fillId="0" borderId="6" xfId="2" applyNumberFormat="1" applyFont="1" applyFill="1" applyBorder="1" applyAlignment="1">
      <alignment horizontal="right"/>
    </xf>
    <xf numFmtId="167" fontId="8" fillId="0" borderId="0" xfId="2" applyNumberFormat="1" applyFont="1" applyFill="1" applyBorder="1" applyAlignment="1">
      <alignment horizontal="right"/>
    </xf>
    <xf numFmtId="167" fontId="6" fillId="0" borderId="0" xfId="2" applyNumberFormat="1" applyFont="1" applyFill="1" applyBorder="1" applyAlignment="1">
      <alignment horizontal="right"/>
    </xf>
    <xf numFmtId="167" fontId="6" fillId="0" borderId="9" xfId="2" applyNumberFormat="1" applyFont="1" applyFill="1" applyBorder="1" applyAlignment="1">
      <alignment horizontal="right"/>
    </xf>
    <xf numFmtId="167" fontId="18" fillId="0" borderId="0" xfId="2" applyNumberFormat="1" applyFont="1" applyFill="1" applyAlignment="1">
      <alignment horizontal="right"/>
    </xf>
    <xf numFmtId="167" fontId="0" fillId="0" borderId="0" xfId="2" applyNumberFormat="1" applyFont="1" applyFill="1" applyAlignment="1">
      <alignment horizontal="right"/>
    </xf>
    <xf numFmtId="167" fontId="13" fillId="0" borderId="15" xfId="2" applyNumberFormat="1" applyFont="1" applyFill="1" applyBorder="1" applyAlignment="1" applyProtection="1">
      <alignment horizontal="right"/>
      <protection locked="0"/>
    </xf>
    <xf numFmtId="167" fontId="13" fillId="0" borderId="30" xfId="2" applyNumberFormat="1" applyFont="1" applyFill="1" applyBorder="1" applyAlignment="1" applyProtection="1">
      <alignment horizontal="right"/>
      <protection locked="0"/>
    </xf>
    <xf numFmtId="165" fontId="9" fillId="2" borderId="15" xfId="2" applyFont="1" applyFill="1" applyBorder="1" applyAlignment="1">
      <alignment vertical="top"/>
    </xf>
    <xf numFmtId="165" fontId="10" fillId="2" borderId="16" xfId="2" applyFont="1" applyFill="1" applyBorder="1" applyAlignment="1">
      <alignment vertical="top"/>
    </xf>
    <xf numFmtId="165" fontId="9" fillId="2" borderId="17" xfId="2" applyFont="1" applyFill="1" applyBorder="1" applyAlignment="1">
      <alignment horizontal="left" vertical="top"/>
    </xf>
    <xf numFmtId="165" fontId="9" fillId="2" borderId="18" xfId="2" applyFont="1" applyFill="1" applyBorder="1" applyAlignment="1">
      <alignment horizontal="left" vertical="top"/>
    </xf>
    <xf numFmtId="165" fontId="9" fillId="2" borderId="15" xfId="2" applyFont="1" applyFill="1" applyBorder="1" applyAlignment="1">
      <alignment horizontal="right" vertical="top"/>
    </xf>
    <xf numFmtId="167" fontId="9" fillId="2" borderId="15" xfId="2" applyNumberFormat="1" applyFont="1" applyFill="1" applyBorder="1" applyAlignment="1">
      <alignment horizontal="right" vertical="top"/>
    </xf>
    <xf numFmtId="165" fontId="6" fillId="2" borderId="15" xfId="2" applyFont="1" applyFill="1" applyBorder="1" applyAlignment="1">
      <alignment horizontal="right"/>
    </xf>
    <xf numFmtId="167" fontId="8" fillId="2" borderId="15" xfId="2" applyNumberFormat="1" applyFont="1" applyFill="1" applyBorder="1" applyAlignment="1">
      <alignment horizontal="right"/>
    </xf>
    <xf numFmtId="165" fontId="8" fillId="2" borderId="15" xfId="2" applyFont="1" applyFill="1" applyBorder="1" applyAlignment="1">
      <alignment horizontal="right"/>
    </xf>
    <xf numFmtId="165" fontId="10" fillId="2" borderId="16" xfId="2" applyFont="1" applyFill="1" applyBorder="1" applyAlignment="1">
      <alignment vertical="top" wrapText="1"/>
    </xf>
    <xf numFmtId="165" fontId="8" fillId="2" borderId="17" xfId="2" applyFont="1" applyFill="1" applyBorder="1" applyAlignment="1">
      <alignment horizontal="left"/>
    </xf>
    <xf numFmtId="165" fontId="8" fillId="2" borderId="18" xfId="2" applyFont="1" applyFill="1" applyBorder="1" applyAlignment="1">
      <alignment horizontal="left"/>
    </xf>
    <xf numFmtId="165" fontId="9" fillId="2" borderId="15" xfId="2" applyFont="1" applyFill="1" applyBorder="1" applyAlignment="1">
      <alignment horizontal="right" vertical="center"/>
    </xf>
    <xf numFmtId="167" fontId="9" fillId="2" borderId="15" xfId="2" applyNumberFormat="1" applyFont="1" applyFill="1" applyBorder="1" applyAlignment="1">
      <alignment horizontal="right" vertical="center"/>
    </xf>
    <xf numFmtId="165" fontId="11" fillId="2" borderId="15" xfId="2" applyFont="1" applyFill="1" applyBorder="1" applyAlignment="1">
      <alignment horizontal="right" vertical="top"/>
    </xf>
    <xf numFmtId="167" fontId="9" fillId="2" borderId="15" xfId="2" applyNumberFormat="1" applyFont="1" applyFill="1" applyBorder="1" applyAlignment="1" applyProtection="1">
      <alignment horizontal="right" vertical="top"/>
      <protection locked="0"/>
    </xf>
    <xf numFmtId="165" fontId="6" fillId="0" borderId="11" xfId="2" applyFont="1" applyFill="1" applyBorder="1" applyProtection="1">
      <protection locked="0"/>
    </xf>
    <xf numFmtId="165" fontId="9" fillId="2" borderId="15" xfId="2" applyFont="1" applyFill="1" applyBorder="1" applyAlignment="1" applyProtection="1">
      <alignment horizontal="right" vertical="top"/>
      <protection locked="0"/>
    </xf>
    <xf numFmtId="165" fontId="11" fillId="0" borderId="15" xfId="2" applyFont="1" applyFill="1" applyBorder="1" applyAlignment="1" applyProtection="1">
      <alignment horizontal="right" vertical="top"/>
      <protection locked="0"/>
    </xf>
    <xf numFmtId="165" fontId="9" fillId="2" borderId="15" xfId="2" applyFont="1" applyFill="1" applyBorder="1" applyAlignment="1" applyProtection="1">
      <alignment horizontal="right" vertical="center"/>
      <protection locked="0"/>
    </xf>
    <xf numFmtId="165" fontId="11" fillId="0" borderId="19" xfId="2" applyFont="1" applyFill="1" applyBorder="1" applyAlignment="1" applyProtection="1">
      <alignment horizontal="right" vertical="top"/>
      <protection locked="0"/>
    </xf>
    <xf numFmtId="165" fontId="11" fillId="0" borderId="30" xfId="2" applyFont="1" applyFill="1" applyBorder="1" applyAlignment="1" applyProtection="1">
      <alignment horizontal="right" vertical="top"/>
      <protection locked="0"/>
    </xf>
    <xf numFmtId="165" fontId="11" fillId="0" borderId="8" xfId="2" applyFont="1" applyFill="1" applyBorder="1" applyAlignment="1" applyProtection="1">
      <alignment horizontal="right" vertical="top"/>
      <protection locked="0"/>
    </xf>
    <xf numFmtId="165" fontId="6" fillId="0" borderId="6" xfId="2" applyFont="1" applyFill="1" applyBorder="1" applyAlignment="1" applyProtection="1">
      <alignment horizontal="right"/>
      <protection locked="0"/>
    </xf>
    <xf numFmtId="165" fontId="8" fillId="0" borderId="11" xfId="2" applyFont="1" applyFill="1" applyBorder="1" applyProtection="1">
      <protection locked="0"/>
    </xf>
    <xf numFmtId="167" fontId="9" fillId="2" borderId="15" xfId="2" applyNumberFormat="1" applyFont="1" applyFill="1" applyBorder="1" applyAlignment="1" applyProtection="1">
      <alignment horizontal="right" vertical="center"/>
      <protection locked="0"/>
    </xf>
    <xf numFmtId="165" fontId="9" fillId="0" borderId="15" xfId="2" applyFont="1" applyFill="1" applyBorder="1" applyAlignment="1" applyProtection="1">
      <alignment horizontal="right" vertical="top"/>
      <protection locked="0"/>
    </xf>
    <xf numFmtId="167" fontId="8" fillId="0" borderId="15" xfId="2" applyNumberFormat="1" applyFont="1" applyFill="1" applyBorder="1" applyAlignment="1" applyProtection="1">
      <alignment horizontal="right"/>
      <protection locked="0"/>
    </xf>
    <xf numFmtId="167" fontId="9" fillId="0" borderId="15" xfId="2" applyNumberFormat="1" applyFont="1" applyFill="1" applyBorder="1" applyAlignment="1" applyProtection="1">
      <alignment horizontal="right" vertical="top"/>
      <protection locked="0"/>
    </xf>
    <xf numFmtId="167" fontId="8" fillId="0" borderId="19" xfId="2" applyNumberFormat="1" applyFont="1" applyFill="1" applyBorder="1" applyAlignment="1" applyProtection="1">
      <alignment horizontal="right"/>
      <protection locked="0"/>
    </xf>
    <xf numFmtId="167" fontId="8" fillId="0" borderId="30" xfId="2" applyNumberFormat="1" applyFont="1" applyFill="1" applyBorder="1" applyAlignment="1" applyProtection="1">
      <alignment horizontal="right"/>
      <protection locked="0"/>
    </xf>
    <xf numFmtId="167" fontId="14" fillId="0" borderId="30" xfId="2" applyNumberFormat="1" applyFont="1" applyFill="1" applyBorder="1" applyAlignment="1" applyProtection="1">
      <alignment horizontal="right"/>
      <protection locked="0"/>
    </xf>
    <xf numFmtId="165" fontId="21" fillId="0" borderId="19" xfId="2" applyFont="1" applyFill="1" applyBorder="1" applyAlignment="1">
      <alignment horizontal="right"/>
    </xf>
    <xf numFmtId="165" fontId="6" fillId="0" borderId="0" xfId="2" applyFont="1" applyFill="1" applyBorder="1" applyAlignment="1" applyProtection="1">
      <alignment horizontal="right"/>
      <protection locked="0"/>
    </xf>
    <xf numFmtId="165" fontId="8" fillId="0" borderId="26" xfId="2" applyFont="1" applyFill="1" applyBorder="1" applyAlignment="1" applyProtection="1">
      <alignment horizontal="right"/>
      <protection locked="0"/>
    </xf>
    <xf numFmtId="165" fontId="6" fillId="0" borderId="0" xfId="2" applyFont="1" applyFill="1" applyBorder="1" applyAlignment="1" applyProtection="1">
      <alignment horizontal="left"/>
      <protection locked="0"/>
    </xf>
    <xf numFmtId="165" fontId="6" fillId="0" borderId="0" xfId="2" applyFont="1" applyFill="1" applyBorder="1" applyAlignment="1" applyProtection="1">
      <alignment horizontal="center"/>
      <protection locked="0"/>
    </xf>
    <xf numFmtId="165" fontId="11" fillId="0" borderId="15" xfId="2" applyFont="1" applyFill="1" applyBorder="1" applyAlignment="1" applyProtection="1">
      <alignment vertical="center"/>
      <protection locked="0"/>
    </xf>
    <xf numFmtId="165" fontId="9" fillId="0" borderId="15" xfId="2" applyFont="1" applyFill="1" applyBorder="1" applyAlignment="1" applyProtection="1">
      <alignment vertical="center"/>
      <protection locked="0"/>
    </xf>
    <xf numFmtId="165" fontId="8" fillId="0" borderId="15" xfId="2" applyFont="1" applyFill="1" applyBorder="1" applyAlignment="1" applyProtection="1">
      <alignment vertical="center"/>
      <protection locked="0"/>
    </xf>
    <xf numFmtId="167" fontId="8" fillId="0" borderId="15" xfId="2" applyNumberFormat="1" applyFont="1" applyFill="1" applyBorder="1" applyAlignment="1">
      <alignment vertical="center"/>
    </xf>
    <xf numFmtId="167" fontId="13" fillId="0" borderId="15" xfId="2" applyNumberFormat="1" applyFont="1" applyFill="1" applyBorder="1" applyAlignment="1" applyProtection="1">
      <alignment vertical="center"/>
      <protection locked="0"/>
    </xf>
    <xf numFmtId="167" fontId="8" fillId="0" borderId="15" xfId="2" applyNumberFormat="1" applyFont="1" applyFill="1" applyBorder="1" applyAlignment="1" applyProtection="1">
      <alignment vertical="center"/>
      <protection locked="0"/>
    </xf>
    <xf numFmtId="167" fontId="11" fillId="0" borderId="15" xfId="2" applyNumberFormat="1" applyFont="1" applyFill="1" applyBorder="1" applyAlignment="1">
      <alignment vertical="center"/>
    </xf>
    <xf numFmtId="165" fontId="8" fillId="0" borderId="0" xfId="2" applyFont="1" applyFill="1" applyBorder="1" applyAlignment="1"/>
    <xf numFmtId="165" fontId="9" fillId="3" borderId="15" xfId="2" applyFont="1" applyFill="1" applyBorder="1" applyAlignment="1" applyProtection="1">
      <alignment vertical="center"/>
      <protection locked="0"/>
    </xf>
    <xf numFmtId="167" fontId="9" fillId="3" borderId="15" xfId="2" applyNumberFormat="1" applyFont="1" applyFill="1" applyBorder="1" applyAlignment="1">
      <alignment vertical="center"/>
    </xf>
    <xf numFmtId="167" fontId="9" fillId="3" borderId="15" xfId="2" applyNumberFormat="1" applyFont="1" applyFill="1" applyBorder="1" applyAlignment="1" applyProtection="1">
      <alignment vertical="center"/>
      <protection locked="0"/>
    </xf>
    <xf numFmtId="167" fontId="6" fillId="3" borderId="15" xfId="2" applyNumberFormat="1" applyFont="1" applyFill="1" applyBorder="1" applyAlignment="1">
      <alignment vertical="center"/>
    </xf>
    <xf numFmtId="165" fontId="9" fillId="4" borderId="15" xfId="2" applyFont="1" applyFill="1" applyBorder="1" applyAlignment="1" applyProtection="1">
      <alignment vertical="center"/>
      <protection locked="0"/>
    </xf>
    <xf numFmtId="167" fontId="9" fillId="4" borderId="15" xfId="2" applyNumberFormat="1" applyFont="1" applyFill="1" applyBorder="1" applyAlignment="1">
      <alignment vertical="center"/>
    </xf>
    <xf numFmtId="167" fontId="9" fillId="4" borderId="15" xfId="2" applyNumberFormat="1" applyFont="1" applyFill="1" applyBorder="1" applyAlignment="1" applyProtection="1">
      <alignment vertical="center"/>
      <protection locked="0"/>
    </xf>
    <xf numFmtId="167" fontId="6" fillId="4" borderId="15" xfId="2" applyNumberFormat="1" applyFont="1" applyFill="1" applyBorder="1" applyAlignment="1">
      <alignment vertical="center"/>
    </xf>
    <xf numFmtId="165" fontId="7" fillId="5" borderId="8" xfId="2" applyFont="1" applyFill="1" applyBorder="1" applyAlignment="1" applyProtection="1">
      <alignment horizontal="center" vertical="center" wrapText="1"/>
      <protection locked="0"/>
    </xf>
    <xf numFmtId="0" fontId="10" fillId="3" borderId="17" xfId="2" applyNumberFormat="1" applyFont="1" applyFill="1" applyBorder="1" applyAlignment="1">
      <alignment horizontal="left" vertical="center" wrapText="1"/>
    </xf>
    <xf numFmtId="0" fontId="10" fillId="4" borderId="17" xfId="2" applyNumberFormat="1" applyFont="1" applyFill="1" applyBorder="1" applyAlignment="1">
      <alignment horizontal="left" vertical="center" wrapText="1"/>
    </xf>
    <xf numFmtId="0" fontId="12" fillId="0" borderId="17" xfId="2" applyNumberFormat="1" applyFont="1" applyFill="1" applyBorder="1" applyAlignment="1">
      <alignment horizontal="left" vertical="center" wrapText="1"/>
    </xf>
    <xf numFmtId="165" fontId="6" fillId="0" borderId="6" xfId="2" applyFont="1" applyFill="1" applyBorder="1" applyAlignment="1" applyProtection="1">
      <alignment horizontal="right" vertical="center"/>
      <protection locked="0"/>
    </xf>
    <xf numFmtId="167" fontId="6" fillId="0" borderId="6" xfId="2" applyNumberFormat="1" applyFont="1" applyFill="1" applyBorder="1" applyAlignment="1">
      <alignment horizontal="right" vertical="center"/>
    </xf>
    <xf numFmtId="165" fontId="7" fillId="5" borderId="8" xfId="2" applyFont="1" applyFill="1" applyBorder="1" applyAlignment="1">
      <alignment horizontal="center" vertical="center"/>
    </xf>
    <xf numFmtId="165" fontId="7" fillId="5" borderId="8" xfId="2" applyFont="1" applyFill="1" applyBorder="1" applyAlignment="1">
      <alignment horizontal="center" vertical="center" wrapText="1"/>
    </xf>
    <xf numFmtId="165" fontId="11" fillId="0" borderId="15" xfId="2" applyFont="1" applyFill="1" applyBorder="1" applyAlignment="1">
      <alignment vertical="center"/>
    </xf>
    <xf numFmtId="165" fontId="8" fillId="0" borderId="16" xfId="2" applyFont="1" applyFill="1" applyBorder="1" applyAlignment="1">
      <alignment vertical="center"/>
    </xf>
    <xf numFmtId="0" fontId="12" fillId="0" borderId="17" xfId="2" applyNumberFormat="1" applyFont="1" applyFill="1" applyBorder="1" applyAlignment="1">
      <alignment vertical="center" wrapText="1"/>
    </xf>
    <xf numFmtId="165" fontId="8" fillId="0" borderId="15" xfId="2" applyFont="1" applyFill="1" applyBorder="1" applyAlignment="1">
      <alignment horizontal="right" vertical="center"/>
    </xf>
    <xf numFmtId="165" fontId="0" fillId="0" borderId="0" xfId="2" applyFont="1" applyFill="1" applyAlignment="1">
      <alignment vertical="center"/>
    </xf>
    <xf numFmtId="165" fontId="16" fillId="0" borderId="27" xfId="2" applyFont="1" applyFill="1" applyBorder="1" applyAlignment="1">
      <alignment horizontal="left" vertical="center"/>
    </xf>
    <xf numFmtId="165" fontId="16" fillId="0" borderId="4" xfId="2" applyFont="1" applyFill="1" applyBorder="1" applyAlignment="1">
      <alignment horizontal="left" vertical="center"/>
    </xf>
    <xf numFmtId="165" fontId="16" fillId="0" borderId="4" xfId="2" applyFont="1" applyFill="1" applyBorder="1" applyAlignment="1">
      <alignment vertical="center"/>
    </xf>
    <xf numFmtId="165" fontId="16" fillId="0" borderId="5" xfId="2" applyFont="1" applyFill="1" applyBorder="1" applyAlignment="1">
      <alignment vertical="center"/>
    </xf>
    <xf numFmtId="165" fontId="6" fillId="0" borderId="1" xfId="2" applyFont="1" applyFill="1" applyBorder="1" applyAlignment="1">
      <alignment horizontal="left" vertical="center"/>
    </xf>
    <xf numFmtId="165" fontId="6" fillId="0" borderId="0" xfId="2" applyFont="1" applyFill="1" applyBorder="1" applyAlignment="1">
      <alignment horizontal="center" vertical="center"/>
    </xf>
    <xf numFmtId="165" fontId="6" fillId="0" borderId="0" xfId="2" applyFont="1" applyFill="1" applyBorder="1" applyAlignment="1">
      <alignment vertical="center"/>
    </xf>
    <xf numFmtId="165" fontId="6" fillId="0" borderId="0" xfId="2" applyFont="1" applyFill="1" applyBorder="1" applyAlignment="1">
      <alignment horizontal="left" vertical="center"/>
    </xf>
    <xf numFmtId="165" fontId="6" fillId="0" borderId="2" xfId="2" applyFont="1" applyFill="1" applyBorder="1" applyAlignment="1">
      <alignment horizontal="center" vertical="center"/>
    </xf>
    <xf numFmtId="165" fontId="9" fillId="3" borderId="15" xfId="2" applyFont="1" applyFill="1" applyBorder="1" applyAlignment="1">
      <alignment vertical="center"/>
    </xf>
    <xf numFmtId="165" fontId="9" fillId="3" borderId="16" xfId="2" applyFont="1" applyFill="1" applyBorder="1" applyAlignment="1">
      <alignment vertical="center"/>
    </xf>
    <xf numFmtId="165" fontId="9" fillId="3" borderId="15" xfId="2" applyFont="1" applyFill="1" applyBorder="1" applyAlignment="1">
      <alignment horizontal="right" vertical="center"/>
    </xf>
    <xf numFmtId="165" fontId="9" fillId="4" borderId="15" xfId="2" applyFont="1" applyFill="1" applyBorder="1" applyAlignment="1">
      <alignment vertical="center"/>
    </xf>
    <xf numFmtId="165" fontId="9" fillId="4" borderId="16" xfId="2" applyFont="1" applyFill="1" applyBorder="1" applyAlignment="1">
      <alignment vertical="center"/>
    </xf>
    <xf numFmtId="165" fontId="9" fillId="4" borderId="15" xfId="2" applyFont="1" applyFill="1" applyBorder="1" applyAlignment="1">
      <alignment horizontal="right" vertical="center"/>
    </xf>
    <xf numFmtId="165" fontId="8" fillId="4" borderId="15" xfId="2" applyFont="1" applyFill="1" applyBorder="1" applyAlignment="1">
      <alignment horizontal="right" vertical="center"/>
    </xf>
    <xf numFmtId="165" fontId="11" fillId="0" borderId="16" xfId="2" applyFont="1" applyFill="1" applyBorder="1" applyAlignment="1">
      <alignment vertical="center"/>
    </xf>
    <xf numFmtId="165" fontId="0" fillId="0" borderId="0" xfId="2" applyFont="1" applyFill="1" applyAlignment="1"/>
    <xf numFmtId="165" fontId="11" fillId="4" borderId="15" xfId="2" applyFont="1" applyFill="1" applyBorder="1" applyAlignment="1">
      <alignment vertical="center"/>
    </xf>
    <xf numFmtId="0" fontId="10" fillId="4" borderId="17" xfId="2" applyNumberFormat="1" applyFont="1" applyFill="1" applyBorder="1" applyAlignment="1">
      <alignment vertical="center"/>
    </xf>
    <xf numFmtId="165" fontId="6" fillId="4" borderId="15" xfId="2" applyFont="1" applyFill="1" applyBorder="1" applyAlignment="1">
      <alignment horizontal="right" vertical="center"/>
    </xf>
    <xf numFmtId="165" fontId="13" fillId="0" borderId="15" xfId="2" applyFont="1" applyFill="1" applyBorder="1" applyAlignment="1">
      <alignment horizontal="right" vertical="center"/>
    </xf>
    <xf numFmtId="165" fontId="8" fillId="0" borderId="15" xfId="2" applyFont="1" applyFill="1" applyBorder="1" applyAlignment="1">
      <alignment vertical="center"/>
    </xf>
    <xf numFmtId="167" fontId="6" fillId="0" borderId="6" xfId="2" applyNumberFormat="1" applyFont="1" applyFill="1" applyBorder="1" applyAlignment="1" applyProtection="1">
      <alignment horizontal="right" vertical="center"/>
      <protection locked="0"/>
    </xf>
    <xf numFmtId="165" fontId="6" fillId="0" borderId="6" xfId="2" applyFont="1" applyFill="1" applyBorder="1" applyAlignment="1">
      <alignment horizontal="right" vertical="center"/>
    </xf>
    <xf numFmtId="165" fontId="8" fillId="0" borderId="1" xfId="2" applyFont="1" applyFill="1" applyBorder="1" applyAlignment="1">
      <alignment vertical="center"/>
    </xf>
    <xf numFmtId="165" fontId="8" fillId="0" borderId="0" xfId="2" applyFont="1" applyFill="1" applyBorder="1" applyAlignment="1">
      <alignment vertical="center"/>
    </xf>
    <xf numFmtId="165" fontId="14" fillId="0" borderId="0" xfId="2" applyFont="1" applyFill="1" applyBorder="1" applyAlignment="1">
      <alignment horizontal="right" vertical="center"/>
    </xf>
    <xf numFmtId="165" fontId="8" fillId="0" borderId="0" xfId="2" applyFont="1" applyFill="1" applyBorder="1" applyAlignment="1">
      <alignment horizontal="right" vertical="center"/>
    </xf>
    <xf numFmtId="167" fontId="8" fillId="0" borderId="0" xfId="2" applyNumberFormat="1" applyFont="1" applyFill="1" applyBorder="1" applyAlignment="1">
      <alignment horizontal="right" vertical="center"/>
    </xf>
    <xf numFmtId="165" fontId="8" fillId="0" borderId="26" xfId="2" applyFont="1" applyFill="1" applyBorder="1" applyAlignment="1">
      <alignment horizontal="right" vertical="center"/>
    </xf>
    <xf numFmtId="165" fontId="8" fillId="0" borderId="2" xfId="2" applyFont="1" applyFill="1" applyBorder="1" applyAlignment="1">
      <alignment horizontal="right" vertical="center"/>
    </xf>
    <xf numFmtId="165" fontId="0" fillId="0" borderId="0" xfId="2" applyFont="1" applyFill="1" applyBorder="1" applyAlignment="1">
      <alignment vertical="center"/>
    </xf>
    <xf numFmtId="165" fontId="6" fillId="0" borderId="0" xfId="2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0" borderId="0" xfId="2" applyFont="1" applyFill="1" applyBorder="1" applyAlignment="1" applyProtection="1">
      <alignment horizontal="right" vertical="center"/>
      <protection locked="0"/>
    </xf>
    <xf numFmtId="165" fontId="8" fillId="0" borderId="26" xfId="2" applyFont="1" applyFill="1" applyBorder="1" applyAlignment="1" applyProtection="1">
      <alignment horizontal="right" vertical="center"/>
      <protection locked="0"/>
    </xf>
    <xf numFmtId="165" fontId="8" fillId="0" borderId="28" xfId="2" applyFont="1" applyFill="1" applyBorder="1" applyAlignment="1">
      <alignment vertical="center"/>
    </xf>
    <xf numFmtId="165" fontId="8" fillId="0" borderId="9" xfId="2" applyFont="1" applyFill="1" applyBorder="1" applyAlignment="1">
      <alignment vertical="center"/>
    </xf>
    <xf numFmtId="165" fontId="8" fillId="0" borderId="9" xfId="2" applyFont="1" applyFill="1" applyBorder="1" applyAlignment="1">
      <alignment horizontal="right" vertical="center"/>
    </xf>
    <xf numFmtId="167" fontId="6" fillId="0" borderId="9" xfId="2" applyNumberFormat="1" applyFont="1" applyFill="1" applyBorder="1" applyAlignment="1">
      <alignment horizontal="right" vertical="center"/>
    </xf>
    <xf numFmtId="165" fontId="0" fillId="0" borderId="9" xfId="2" applyFont="1" applyFill="1" applyBorder="1" applyAlignment="1">
      <alignment vertical="center"/>
    </xf>
    <xf numFmtId="165" fontId="8" fillId="0" borderId="10" xfId="2" applyFont="1" applyFill="1" applyBorder="1" applyAlignment="1">
      <alignment horizontal="right" vertical="center"/>
    </xf>
    <xf numFmtId="165" fontId="23" fillId="0" borderId="0" xfId="2" applyFont="1" applyFill="1" applyBorder="1" applyAlignment="1">
      <alignment vertical="center"/>
    </xf>
    <xf numFmtId="165" fontId="16" fillId="0" borderId="4" xfId="2" applyFont="1" applyFill="1" applyBorder="1" applyAlignment="1">
      <alignment horizontal="left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6" xfId="2" applyNumberFormat="1" applyFont="1" applyFill="1" applyBorder="1" applyAlignment="1">
      <alignment horizontal="center" vertical="center"/>
    </xf>
    <xf numFmtId="165" fontId="9" fillId="0" borderId="16" xfId="2" applyFont="1" applyFill="1" applyBorder="1" applyAlignment="1">
      <alignment vertical="top"/>
    </xf>
    <xf numFmtId="0" fontId="10" fillId="0" borderId="17" xfId="2" applyNumberFormat="1" applyFont="1" applyFill="1" applyBorder="1" applyAlignment="1">
      <alignment horizontal="left" vertical="top" wrapText="1"/>
    </xf>
    <xf numFmtId="167" fontId="9" fillId="0" borderId="15" xfId="2" applyNumberFormat="1" applyFont="1" applyFill="1" applyBorder="1" applyAlignment="1">
      <alignment vertical="center"/>
    </xf>
    <xf numFmtId="167" fontId="9" fillId="0" borderId="15" xfId="2" applyNumberFormat="1" applyFont="1" applyFill="1" applyBorder="1" applyAlignment="1" applyProtection="1">
      <alignment vertical="center"/>
      <protection locked="0"/>
    </xf>
    <xf numFmtId="167" fontId="6" fillId="0" borderId="15" xfId="2" applyNumberFormat="1" applyFont="1" applyFill="1" applyBorder="1" applyAlignment="1">
      <alignment vertical="center"/>
    </xf>
    <xf numFmtId="0" fontId="9" fillId="0" borderId="15" xfId="2" applyNumberFormat="1" applyFont="1" applyFill="1" applyBorder="1" applyAlignment="1">
      <alignment horizontal="center" vertical="top"/>
    </xf>
    <xf numFmtId="0" fontId="9" fillId="0" borderId="16" xfId="2" applyNumberFormat="1" applyFont="1" applyFill="1" applyBorder="1" applyAlignment="1">
      <alignment horizontal="center" vertical="top"/>
    </xf>
    <xf numFmtId="0" fontId="9" fillId="0" borderId="16" xfId="2" quotePrefix="1" applyNumberFormat="1" applyFont="1" applyFill="1" applyBorder="1" applyAlignment="1">
      <alignment horizontal="center" vertical="top"/>
    </xf>
    <xf numFmtId="165" fontId="8" fillId="0" borderId="16" xfId="2" applyFont="1" applyFill="1" applyBorder="1" applyAlignment="1">
      <alignment vertical="top"/>
    </xf>
    <xf numFmtId="0" fontId="11" fillId="0" borderId="15" xfId="2" applyNumberFormat="1" applyFont="1" applyFill="1" applyBorder="1" applyAlignment="1">
      <alignment vertical="top"/>
    </xf>
    <xf numFmtId="0" fontId="11" fillId="0" borderId="16" xfId="2" applyNumberFormat="1" applyFont="1" applyFill="1" applyBorder="1" applyAlignment="1">
      <alignment vertical="top"/>
    </xf>
    <xf numFmtId="165" fontId="11" fillId="0" borderId="16" xfId="2" applyFont="1" applyFill="1" applyBorder="1" applyAlignment="1">
      <alignment vertical="top"/>
    </xf>
    <xf numFmtId="165" fontId="12" fillId="0" borderId="17" xfId="2" applyFont="1" applyFill="1" applyBorder="1" applyAlignment="1">
      <alignment vertical="top" wrapText="1"/>
    </xf>
    <xf numFmtId="167" fontId="8" fillId="0" borderId="30" xfId="2" applyNumberFormat="1" applyFont="1" applyFill="1" applyBorder="1" applyAlignment="1" applyProtection="1">
      <alignment vertical="center"/>
      <protection locked="0"/>
    </xf>
    <xf numFmtId="167" fontId="6" fillId="0" borderId="6" xfId="2" applyNumberFormat="1" applyFont="1" applyFill="1" applyBorder="1" applyAlignment="1" applyProtection="1">
      <alignment vertical="center"/>
      <protection locked="0"/>
    </xf>
    <xf numFmtId="165" fontId="22" fillId="0" borderId="0" xfId="2" applyFont="1" applyFill="1" applyBorder="1"/>
    <xf numFmtId="165" fontId="8" fillId="0" borderId="9" xfId="2" applyFont="1" applyFill="1" applyBorder="1" applyAlignment="1"/>
    <xf numFmtId="165" fontId="8" fillId="0" borderId="34" xfId="2" applyFont="1" applyFill="1" applyBorder="1" applyAlignment="1">
      <alignment horizontal="right" vertical="center"/>
    </xf>
    <xf numFmtId="165" fontId="8" fillId="0" borderId="29" xfId="2" applyFont="1" applyFill="1" applyBorder="1" applyAlignment="1">
      <alignment horizontal="right" vertical="center"/>
    </xf>
    <xf numFmtId="165" fontId="23" fillId="0" borderId="0" xfId="2" applyFont="1" applyFill="1" applyAlignment="1"/>
    <xf numFmtId="165" fontId="23" fillId="0" borderId="0" xfId="2" applyFont="1" applyFill="1" applyBorder="1"/>
    <xf numFmtId="39" fontId="8" fillId="0" borderId="15" xfId="2" applyNumberFormat="1" applyFont="1" applyFill="1" applyBorder="1" applyAlignment="1" applyProtection="1">
      <alignment vertical="center"/>
      <protection locked="0"/>
    </xf>
    <xf numFmtId="39" fontId="8" fillId="0" borderId="15" xfId="5" applyNumberFormat="1" applyFont="1" applyFill="1" applyBorder="1" applyAlignment="1">
      <alignment horizontal="right" vertical="center"/>
    </xf>
    <xf numFmtId="39" fontId="8" fillId="0" borderId="15" xfId="5" applyNumberFormat="1" applyFont="1" applyFill="1" applyBorder="1" applyAlignment="1">
      <alignment horizontal="right"/>
    </xf>
    <xf numFmtId="165" fontId="8" fillId="0" borderId="0" xfId="2" applyFont="1" applyFill="1" applyBorder="1" applyAlignment="1" applyProtection="1">
      <alignment vertical="center"/>
      <protection locked="0"/>
    </xf>
    <xf numFmtId="165" fontId="7" fillId="0" borderId="8" xfId="2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39" fontId="8" fillId="6" borderId="15" xfId="5" applyNumberFormat="1" applyFont="1" applyFill="1" applyBorder="1" applyAlignment="1">
      <alignment horizontal="right"/>
    </xf>
    <xf numFmtId="164" fontId="0" fillId="0" borderId="0" xfId="0" applyNumberFormat="1"/>
    <xf numFmtId="165" fontId="24" fillId="0" borderId="4" xfId="2" applyFont="1" applyFill="1" applyBorder="1" applyAlignment="1">
      <alignment vertical="center"/>
    </xf>
    <xf numFmtId="165" fontId="25" fillId="0" borderId="0" xfId="2" applyFont="1" applyFill="1" applyAlignment="1"/>
    <xf numFmtId="165" fontId="25" fillId="0" borderId="0" xfId="2" applyFont="1" applyFill="1" applyBorder="1" applyAlignment="1">
      <alignment vertical="center"/>
    </xf>
    <xf numFmtId="165" fontId="24" fillId="0" borderId="0" xfId="2" applyFont="1" applyFill="1" applyBorder="1" applyAlignment="1">
      <alignment vertical="center"/>
    </xf>
    <xf numFmtId="165" fontId="25" fillId="0" borderId="9" xfId="2" applyFont="1" applyFill="1" applyBorder="1" applyAlignment="1">
      <alignment vertical="center"/>
    </xf>
    <xf numFmtId="165" fontId="8" fillId="0" borderId="0" xfId="2" applyFont="1" applyFill="1" applyAlignment="1">
      <alignment horizontal="right"/>
    </xf>
    <xf numFmtId="165" fontId="25" fillId="0" borderId="0" xfId="2" applyFont="1" applyFill="1"/>
    <xf numFmtId="165" fontId="25" fillId="0" borderId="15" xfId="2" applyFont="1" applyFill="1" applyBorder="1" applyAlignment="1"/>
    <xf numFmtId="165" fontId="25" fillId="0" borderId="0" xfId="2" applyFont="1" applyFill="1" applyAlignment="1">
      <alignment vertical="center"/>
    </xf>
    <xf numFmtId="165" fontId="0" fillId="0" borderId="0" xfId="2" applyFont="1" applyFill="1" applyAlignment="1">
      <alignment horizontal="center" wrapText="1"/>
    </xf>
    <xf numFmtId="165" fontId="0" fillId="0" borderId="0" xfId="2" applyFont="1" applyFill="1" applyAlignment="1">
      <alignment horizontal="center" vertical="center" wrapText="1"/>
    </xf>
    <xf numFmtId="165" fontId="0" fillId="0" borderId="0" xfId="2" applyFont="1" applyFill="1" applyAlignment="1">
      <alignment horizontal="center" vertical="center"/>
    </xf>
    <xf numFmtId="0" fontId="1" fillId="0" borderId="0" xfId="195"/>
    <xf numFmtId="165" fontId="1" fillId="0" borderId="0" xfId="195" applyNumberFormat="1"/>
    <xf numFmtId="165" fontId="6" fillId="0" borderId="23" xfId="2" applyFont="1" applyFill="1" applyBorder="1" applyAlignment="1">
      <alignment horizontal="center"/>
    </xf>
    <xf numFmtId="165" fontId="6" fillId="0" borderId="24" xfId="2" applyFont="1" applyFill="1" applyBorder="1" applyAlignment="1">
      <alignment horizontal="center"/>
    </xf>
    <xf numFmtId="165" fontId="6" fillId="0" borderId="25" xfId="2" applyFont="1" applyFill="1" applyBorder="1" applyAlignment="1">
      <alignment horizontal="center"/>
    </xf>
    <xf numFmtId="165" fontId="6" fillId="0" borderId="0" xfId="2" applyFont="1" applyFill="1" applyBorder="1" applyAlignment="1" applyProtection="1">
      <alignment horizontal="center"/>
      <protection locked="0"/>
    </xf>
    <xf numFmtId="165" fontId="17" fillId="0" borderId="0" xfId="2" applyFont="1" applyFill="1" applyBorder="1" applyAlignment="1" applyProtection="1">
      <alignment horizontal="center"/>
      <protection locked="0"/>
    </xf>
    <xf numFmtId="165" fontId="6" fillId="0" borderId="9" xfId="2" applyFont="1" applyFill="1" applyBorder="1" applyAlignment="1" applyProtection="1">
      <alignment horizontal="center"/>
      <protection locked="0"/>
    </xf>
    <xf numFmtId="165" fontId="10" fillId="2" borderId="16" xfId="2" applyFont="1" applyFill="1" applyBorder="1" applyAlignment="1">
      <alignment horizontal="left" vertical="top" wrapText="1"/>
    </xf>
    <xf numFmtId="165" fontId="10" fillId="2" borderId="17" xfId="2" applyFont="1" applyFill="1" applyBorder="1" applyAlignment="1">
      <alignment horizontal="left" vertical="top" wrapText="1"/>
    </xf>
    <xf numFmtId="165" fontId="10" fillId="2" borderId="18" xfId="2" applyFont="1" applyFill="1" applyBorder="1" applyAlignment="1">
      <alignment horizontal="left" vertical="top" wrapText="1"/>
    </xf>
    <xf numFmtId="165" fontId="12" fillId="0" borderId="16" xfId="2" applyFont="1" applyFill="1" applyBorder="1" applyAlignment="1">
      <alignment horizontal="left" vertical="top" wrapText="1"/>
    </xf>
    <xf numFmtId="165" fontId="12" fillId="0" borderId="17" xfId="2" applyFont="1" applyFill="1" applyBorder="1" applyAlignment="1">
      <alignment horizontal="left" vertical="top" wrapText="1"/>
    </xf>
    <xf numFmtId="165" fontId="12" fillId="0" borderId="18" xfId="2" applyFont="1" applyFill="1" applyBorder="1" applyAlignment="1">
      <alignment horizontal="left" vertical="top" wrapText="1"/>
    </xf>
    <xf numFmtId="165" fontId="15" fillId="0" borderId="27" xfId="2" applyFont="1" applyFill="1" applyBorder="1" applyAlignment="1">
      <alignment horizontal="center"/>
    </xf>
    <xf numFmtId="165" fontId="15" fillId="0" borderId="4" xfId="2" applyFont="1" applyFill="1" applyBorder="1" applyAlignment="1">
      <alignment horizontal="center"/>
    </xf>
    <xf numFmtId="165" fontId="15" fillId="0" borderId="5" xfId="2" applyFont="1" applyFill="1" applyBorder="1" applyAlignment="1">
      <alignment horizontal="center"/>
    </xf>
    <xf numFmtId="165" fontId="15" fillId="0" borderId="28" xfId="2" applyFont="1" applyFill="1" applyBorder="1" applyAlignment="1">
      <alignment horizontal="center"/>
    </xf>
    <xf numFmtId="165" fontId="15" fillId="0" borderId="9" xfId="2" applyFont="1" applyFill="1" applyBorder="1" applyAlignment="1">
      <alignment horizontal="center"/>
    </xf>
    <xf numFmtId="165" fontId="15" fillId="0" borderId="10" xfId="2" applyFont="1" applyFill="1" applyBorder="1" applyAlignment="1">
      <alignment horizontal="center"/>
    </xf>
    <xf numFmtId="165" fontId="7" fillId="0" borderId="3" xfId="2" applyFont="1" applyFill="1" applyBorder="1" applyAlignment="1">
      <alignment horizontal="center" vertical="center"/>
    </xf>
    <xf numFmtId="165" fontId="7" fillId="0" borderId="7" xfId="2" applyFont="1" applyFill="1" applyBorder="1" applyAlignment="1">
      <alignment horizontal="center" vertical="center"/>
    </xf>
    <xf numFmtId="165" fontId="7" fillId="0" borderId="8" xfId="2" applyFont="1" applyFill="1" applyBorder="1" applyAlignment="1">
      <alignment horizontal="center" vertical="center"/>
    </xf>
    <xf numFmtId="165" fontId="7" fillId="0" borderId="4" xfId="2" applyFont="1" applyFill="1" applyBorder="1" applyAlignment="1">
      <alignment horizontal="center" vertical="center"/>
    </xf>
    <xf numFmtId="165" fontId="7" fillId="0" borderId="5" xfId="2" applyFont="1" applyFill="1" applyBorder="1" applyAlignment="1">
      <alignment horizontal="center" vertical="center"/>
    </xf>
    <xf numFmtId="165" fontId="7" fillId="0" borderId="0" xfId="2" applyFont="1" applyFill="1" applyBorder="1" applyAlignment="1">
      <alignment horizontal="center" vertical="center"/>
    </xf>
    <xf numFmtId="165" fontId="7" fillId="0" borderId="2" xfId="2" applyFont="1" applyFill="1" applyBorder="1" applyAlignment="1">
      <alignment horizontal="center" vertical="center"/>
    </xf>
    <xf numFmtId="165" fontId="7" fillId="0" borderId="9" xfId="2" applyFont="1" applyFill="1" applyBorder="1" applyAlignment="1">
      <alignment horizontal="center" vertical="center"/>
    </xf>
    <xf numFmtId="165" fontId="7" fillId="0" borderId="10" xfId="2" applyFont="1" applyFill="1" applyBorder="1" applyAlignment="1">
      <alignment horizontal="center" vertical="center"/>
    </xf>
    <xf numFmtId="165" fontId="7" fillId="0" borderId="3" xfId="2" applyFont="1" applyFill="1" applyBorder="1" applyAlignment="1" applyProtection="1">
      <alignment horizontal="center" vertical="center" wrapText="1"/>
      <protection locked="0"/>
    </xf>
    <xf numFmtId="165" fontId="7" fillId="0" borderId="7" xfId="2" applyFont="1" applyFill="1" applyBorder="1" applyAlignment="1" applyProtection="1">
      <alignment horizontal="center" vertical="center" wrapText="1"/>
      <protection locked="0"/>
    </xf>
    <xf numFmtId="165" fontId="7" fillId="0" borderId="8" xfId="2" applyFont="1" applyFill="1" applyBorder="1" applyAlignment="1" applyProtection="1">
      <alignment horizontal="center" vertical="center" wrapText="1"/>
      <protection locked="0"/>
    </xf>
    <xf numFmtId="165" fontId="7" fillId="0" borderId="3" xfId="2" applyFont="1" applyFill="1" applyBorder="1" applyAlignment="1">
      <alignment horizontal="center" vertical="center" wrapText="1"/>
    </xf>
    <xf numFmtId="165" fontId="7" fillId="0" borderId="7" xfId="2" applyFont="1" applyFill="1" applyBorder="1" applyAlignment="1">
      <alignment horizontal="center" vertical="center" wrapText="1"/>
    </xf>
    <xf numFmtId="165" fontId="7" fillId="0" borderId="8" xfId="2" applyFont="1" applyFill="1" applyBorder="1" applyAlignment="1">
      <alignment horizontal="center" vertical="center" wrapText="1"/>
    </xf>
    <xf numFmtId="165" fontId="7" fillId="0" borderId="6" xfId="2" applyFont="1" applyFill="1" applyBorder="1" applyAlignment="1">
      <alignment horizontal="center" vertical="center" wrapText="1"/>
    </xf>
    <xf numFmtId="165" fontId="7" fillId="0" borderId="6" xfId="2" applyFont="1" applyFill="1" applyBorder="1" applyAlignment="1">
      <alignment horizontal="center" vertical="center"/>
    </xf>
    <xf numFmtId="165" fontId="6" fillId="0" borderId="0" xfId="2" applyFont="1" applyFill="1" applyBorder="1" applyAlignment="1">
      <alignment horizontal="center"/>
    </xf>
    <xf numFmtId="165" fontId="17" fillId="0" borderId="0" xfId="2" applyFont="1" applyFill="1" applyBorder="1" applyAlignment="1">
      <alignment horizontal="center"/>
    </xf>
    <xf numFmtId="165" fontId="6" fillId="0" borderId="9" xfId="2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167" fontId="17" fillId="0" borderId="0" xfId="8" applyNumberFormat="1" applyFont="1" applyFill="1" applyBorder="1" applyAlignment="1">
      <alignment horizontal="center"/>
    </xf>
    <xf numFmtId="167" fontId="6" fillId="0" borderId="9" xfId="8" applyNumberFormat="1" applyFont="1" applyFill="1" applyBorder="1" applyAlignment="1">
      <alignment horizontal="center"/>
    </xf>
    <xf numFmtId="0" fontId="10" fillId="0" borderId="16" xfId="4" applyFont="1" applyBorder="1" applyAlignment="1">
      <alignment horizontal="left" vertical="top" wrapText="1"/>
    </xf>
    <xf numFmtId="0" fontId="10" fillId="0" borderId="17" xfId="4" applyFont="1" applyBorder="1" applyAlignment="1">
      <alignment horizontal="left" vertical="top" wrapText="1"/>
    </xf>
    <xf numFmtId="0" fontId="10" fillId="0" borderId="18" xfId="4" applyFont="1" applyBorder="1" applyAlignment="1">
      <alignment horizontal="left" vertical="top" wrapText="1"/>
    </xf>
    <xf numFmtId="0" fontId="12" fillId="0" borderId="16" xfId="4" applyFont="1" applyBorder="1" applyAlignment="1">
      <alignment horizontal="left" vertical="top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6" fillId="0" borderId="23" xfId="4" applyFont="1" applyBorder="1" applyAlignment="1">
      <alignment horizontal="center"/>
    </xf>
    <xf numFmtId="0" fontId="6" fillId="0" borderId="24" xfId="4" applyFont="1" applyBorder="1" applyAlignment="1">
      <alignment horizontal="center"/>
    </xf>
    <xf numFmtId="0" fontId="6" fillId="0" borderId="25" xfId="4" applyFont="1" applyBorder="1" applyAlignment="1">
      <alignment horizontal="center"/>
    </xf>
    <xf numFmtId="167" fontId="6" fillId="0" borderId="0" xfId="5" applyNumberFormat="1" applyFont="1" applyFill="1" applyBorder="1" applyAlignment="1">
      <alignment horizontal="left"/>
    </xf>
    <xf numFmtId="166" fontId="15" fillId="0" borderId="27" xfId="7" applyFont="1" applyFill="1" applyBorder="1" applyAlignment="1">
      <alignment horizontal="center"/>
    </xf>
    <xf numFmtId="166" fontId="15" fillId="0" borderId="4" xfId="7" applyFont="1" applyFill="1" applyBorder="1" applyAlignment="1">
      <alignment horizontal="center"/>
    </xf>
    <xf numFmtId="166" fontId="15" fillId="0" borderId="5" xfId="7" applyFont="1" applyFill="1" applyBorder="1" applyAlignment="1">
      <alignment horizontal="center"/>
    </xf>
    <xf numFmtId="166" fontId="15" fillId="0" borderId="28" xfId="7" applyFont="1" applyFill="1" applyBorder="1" applyAlignment="1">
      <alignment horizontal="center"/>
    </xf>
    <xf numFmtId="166" fontId="15" fillId="0" borderId="9" xfId="7" applyFont="1" applyFill="1" applyBorder="1" applyAlignment="1">
      <alignment horizontal="center"/>
    </xf>
    <xf numFmtId="166" fontId="15" fillId="0" borderId="10" xfId="7" applyFont="1" applyFill="1" applyBorder="1" applyAlignment="1">
      <alignment horizontal="center"/>
    </xf>
    <xf numFmtId="0" fontId="7" fillId="0" borderId="3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167" fontId="7" fillId="0" borderId="3" xfId="5" applyNumberFormat="1" applyFont="1" applyFill="1" applyBorder="1" applyAlignment="1">
      <alignment horizontal="center" vertical="center" wrapText="1"/>
    </xf>
    <xf numFmtId="167" fontId="7" fillId="0" borderId="7" xfId="5" applyNumberFormat="1" applyFont="1" applyFill="1" applyBorder="1" applyAlignment="1">
      <alignment horizontal="center" vertical="center" wrapText="1"/>
    </xf>
    <xf numFmtId="167" fontId="7" fillId="0" borderId="8" xfId="5" applyNumberFormat="1" applyFont="1" applyFill="1" applyBorder="1" applyAlignment="1">
      <alignment horizontal="center" vertical="center" wrapText="1"/>
    </xf>
    <xf numFmtId="167" fontId="7" fillId="0" borderId="6" xfId="5" applyNumberFormat="1" applyFont="1" applyFill="1" applyBorder="1" applyAlignment="1">
      <alignment horizontal="center" vertical="center" wrapText="1"/>
    </xf>
    <xf numFmtId="167" fontId="7" fillId="0" borderId="3" xfId="5" applyNumberFormat="1" applyFont="1" applyFill="1" applyBorder="1" applyAlignment="1">
      <alignment horizontal="center" vertical="center"/>
    </xf>
    <xf numFmtId="167" fontId="7" fillId="0" borderId="7" xfId="5" applyNumberFormat="1" applyFont="1" applyFill="1" applyBorder="1" applyAlignment="1">
      <alignment horizontal="center" vertical="center"/>
    </xf>
    <xf numFmtId="167" fontId="7" fillId="0" borderId="8" xfId="5" applyNumberFormat="1" applyFont="1" applyFill="1" applyBorder="1" applyAlignment="1">
      <alignment horizontal="center" vertical="center"/>
    </xf>
    <xf numFmtId="167" fontId="7" fillId="0" borderId="6" xfId="5" applyNumberFormat="1" applyFont="1" applyFill="1" applyBorder="1" applyAlignment="1">
      <alignment horizontal="center" vertical="center"/>
    </xf>
    <xf numFmtId="165" fontId="15" fillId="0" borderId="27" xfId="2" applyFont="1" applyFill="1" applyBorder="1" applyAlignment="1">
      <alignment horizontal="center" vertical="center"/>
    </xf>
    <xf numFmtId="165" fontId="15" fillId="0" borderId="4" xfId="2" applyFont="1" applyFill="1" applyBorder="1" applyAlignment="1">
      <alignment horizontal="center" vertical="center"/>
    </xf>
    <xf numFmtId="165" fontId="15" fillId="0" borderId="5" xfId="2" applyFont="1" applyFill="1" applyBorder="1" applyAlignment="1">
      <alignment horizontal="center" vertical="center"/>
    </xf>
    <xf numFmtId="165" fontId="15" fillId="0" borderId="28" xfId="2" applyFont="1" applyFill="1" applyBorder="1" applyAlignment="1">
      <alignment horizontal="center" vertical="center"/>
    </xf>
    <xf numFmtId="165" fontId="15" fillId="0" borderId="9" xfId="2" applyFont="1" applyFill="1" applyBorder="1" applyAlignment="1">
      <alignment horizontal="center" vertical="center"/>
    </xf>
    <xf numFmtId="165" fontId="15" fillId="0" borderId="10" xfId="2" applyFont="1" applyFill="1" applyBorder="1" applyAlignment="1">
      <alignment horizontal="center" vertical="center"/>
    </xf>
    <xf numFmtId="17" fontId="6" fillId="0" borderId="9" xfId="2" applyNumberFormat="1" applyFont="1" applyFill="1" applyBorder="1" applyAlignment="1" applyProtection="1">
      <alignment horizontal="left" vertical="center"/>
      <protection locked="0"/>
    </xf>
    <xf numFmtId="165" fontId="7" fillId="5" borderId="3" xfId="2" applyFont="1" applyFill="1" applyBorder="1" applyAlignment="1">
      <alignment horizontal="center" vertical="center"/>
    </xf>
    <xf numFmtId="165" fontId="7" fillId="5" borderId="7" xfId="2" applyFont="1" applyFill="1" applyBorder="1" applyAlignment="1">
      <alignment horizontal="center" vertical="center"/>
    </xf>
    <xf numFmtId="165" fontId="7" fillId="5" borderId="8" xfId="2" applyFont="1" applyFill="1" applyBorder="1" applyAlignment="1">
      <alignment horizontal="center" vertical="center"/>
    </xf>
    <xf numFmtId="165" fontId="7" fillId="5" borderId="27" xfId="2" applyFont="1" applyFill="1" applyBorder="1" applyAlignment="1">
      <alignment horizontal="center" vertical="center"/>
    </xf>
    <xf numFmtId="165" fontId="7" fillId="5" borderId="5" xfId="2" applyFont="1" applyFill="1" applyBorder="1" applyAlignment="1">
      <alignment horizontal="center" vertical="center"/>
    </xf>
    <xf numFmtId="165" fontId="7" fillId="5" borderId="1" xfId="2" applyFont="1" applyFill="1" applyBorder="1" applyAlignment="1">
      <alignment horizontal="center" vertical="center"/>
    </xf>
    <xf numFmtId="165" fontId="7" fillId="5" borderId="2" xfId="2" applyFont="1" applyFill="1" applyBorder="1" applyAlignment="1">
      <alignment horizontal="center" vertical="center"/>
    </xf>
    <xf numFmtId="165" fontId="7" fillId="5" borderId="28" xfId="2" applyFont="1" applyFill="1" applyBorder="1" applyAlignment="1">
      <alignment horizontal="center" vertical="center"/>
    </xf>
    <xf numFmtId="165" fontId="7" fillId="5" borderId="10" xfId="2" applyFont="1" applyFill="1" applyBorder="1" applyAlignment="1">
      <alignment horizontal="center" vertical="center"/>
    </xf>
    <xf numFmtId="165" fontId="7" fillId="5" borderId="3" xfId="2" applyFont="1" applyFill="1" applyBorder="1" applyAlignment="1" applyProtection="1">
      <alignment horizontal="center" vertical="center" wrapText="1"/>
      <protection locked="0"/>
    </xf>
    <xf numFmtId="165" fontId="7" fillId="5" borderId="7" xfId="2" applyFont="1" applyFill="1" applyBorder="1" applyAlignment="1" applyProtection="1">
      <alignment horizontal="center" vertical="center" wrapText="1"/>
      <protection locked="0"/>
    </xf>
    <xf numFmtId="165" fontId="7" fillId="5" borderId="3" xfId="2" applyFont="1" applyFill="1" applyBorder="1" applyAlignment="1">
      <alignment horizontal="center" vertical="center" wrapText="1"/>
    </xf>
    <xf numFmtId="165" fontId="7" fillId="5" borderId="7" xfId="2" applyFont="1" applyFill="1" applyBorder="1" applyAlignment="1">
      <alignment horizontal="center" vertical="center" wrapText="1"/>
    </xf>
    <xf numFmtId="165" fontId="7" fillId="5" borderId="8" xfId="2" applyFont="1" applyFill="1" applyBorder="1" applyAlignment="1">
      <alignment horizontal="center" vertical="center" wrapText="1"/>
    </xf>
    <xf numFmtId="165" fontId="7" fillId="5" borderId="6" xfId="2" applyFont="1" applyFill="1" applyBorder="1" applyAlignment="1">
      <alignment horizontal="center" vertical="center" wrapText="1"/>
    </xf>
    <xf numFmtId="165" fontId="7" fillId="5" borderId="27" xfId="2" applyFont="1" applyFill="1" applyBorder="1" applyAlignment="1">
      <alignment horizontal="center" vertical="center" wrapText="1"/>
    </xf>
    <xf numFmtId="165" fontId="7" fillId="5" borderId="5" xfId="2" applyFont="1" applyFill="1" applyBorder="1" applyAlignment="1">
      <alignment horizontal="center" vertical="center" wrapText="1"/>
    </xf>
    <xf numFmtId="165" fontId="7" fillId="5" borderId="28" xfId="2" applyFont="1" applyFill="1" applyBorder="1" applyAlignment="1">
      <alignment horizontal="center" vertical="center" wrapText="1"/>
    </xf>
    <xf numFmtId="165" fontId="7" fillId="5" borderId="10" xfId="2" applyFont="1" applyFill="1" applyBorder="1" applyAlignment="1">
      <alignment horizontal="center" vertical="center" wrapText="1"/>
    </xf>
    <xf numFmtId="165" fontId="7" fillId="5" borderId="4" xfId="2" applyFont="1" applyFill="1" applyBorder="1" applyAlignment="1">
      <alignment horizontal="center" vertical="center"/>
    </xf>
    <xf numFmtId="165" fontId="7" fillId="5" borderId="9" xfId="2" applyFont="1" applyFill="1" applyBorder="1" applyAlignment="1">
      <alignment horizontal="center" vertical="center"/>
    </xf>
    <xf numFmtId="165" fontId="0" fillId="0" borderId="0" xfId="2" applyFont="1" applyFill="1" applyAlignment="1">
      <alignment horizontal="center" wrapText="1"/>
    </xf>
    <xf numFmtId="165" fontId="0" fillId="0" borderId="0" xfId="2" applyFont="1" applyFill="1" applyAlignment="1">
      <alignment horizontal="center"/>
    </xf>
    <xf numFmtId="165" fontId="6" fillId="0" borderId="9" xfId="2" applyFont="1" applyFill="1" applyBorder="1" applyAlignment="1" applyProtection="1">
      <alignment horizontal="center" vertical="center"/>
      <protection locked="0"/>
    </xf>
    <xf numFmtId="165" fontId="6" fillId="0" borderId="23" xfId="2" applyFont="1" applyFill="1" applyBorder="1" applyAlignment="1">
      <alignment horizontal="center" vertical="center"/>
    </xf>
    <xf numFmtId="165" fontId="6" fillId="0" borderId="24" xfId="2" applyFont="1" applyFill="1" applyBorder="1" applyAlignment="1">
      <alignment horizontal="center" vertical="center"/>
    </xf>
    <xf numFmtId="165" fontId="6" fillId="0" borderId="0" xfId="2" applyFont="1" applyFill="1" applyBorder="1" applyAlignment="1" applyProtection="1">
      <alignment horizontal="center" vertical="center"/>
      <protection locked="0"/>
    </xf>
    <xf numFmtId="165" fontId="17" fillId="0" borderId="0" xfId="2" applyFont="1" applyFill="1" applyBorder="1" applyAlignment="1" applyProtection="1">
      <alignment horizontal="center" vertical="center"/>
      <protection locked="0"/>
    </xf>
    <xf numFmtId="17" fontId="6" fillId="0" borderId="9" xfId="2" applyNumberFormat="1" applyFont="1" applyFill="1" applyBorder="1" applyAlignment="1" applyProtection="1">
      <alignment horizontal="left"/>
      <protection locked="0"/>
    </xf>
    <xf numFmtId="165" fontId="7" fillId="0" borderId="27" xfId="2" applyFont="1" applyFill="1" applyBorder="1" applyAlignment="1">
      <alignment horizontal="center" vertical="center"/>
    </xf>
    <xf numFmtId="165" fontId="7" fillId="0" borderId="1" xfId="2" applyFont="1" applyFill="1" applyBorder="1" applyAlignment="1">
      <alignment horizontal="center" vertical="center"/>
    </xf>
    <xf numFmtId="165" fontId="7" fillId="0" borderId="28" xfId="2" applyFont="1" applyFill="1" applyBorder="1" applyAlignment="1">
      <alignment horizontal="center" vertical="center"/>
    </xf>
    <xf numFmtId="165" fontId="7" fillId="0" borderId="27" xfId="2" applyFont="1" applyFill="1" applyBorder="1" applyAlignment="1">
      <alignment horizontal="center" vertical="center" wrapText="1"/>
    </xf>
    <xf numFmtId="165" fontId="7" fillId="0" borderId="5" xfId="2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165" fontId="7" fillId="0" borderId="10" xfId="2" applyFont="1" applyFill="1" applyBorder="1" applyAlignment="1">
      <alignment horizontal="center" vertical="center" wrapText="1"/>
    </xf>
  </cellXfs>
  <cellStyles count="282">
    <cellStyle name="Comma" xfId="1" builtinId="3"/>
    <cellStyle name="Comma [0]" xfId="2" builtinId="6"/>
    <cellStyle name="Comma [0] 10" xfId="42" xr:uid="{00000000-0005-0000-0000-000002000000}"/>
    <cellStyle name="Comma [0] 11" xfId="47" xr:uid="{00000000-0005-0000-0000-000003000000}"/>
    <cellStyle name="Comma [0] 12" xfId="162" xr:uid="{00000000-0005-0000-0000-000004000000}"/>
    <cellStyle name="Comma [0] 13" xfId="170" xr:uid="{00000000-0005-0000-0000-000005000000}"/>
    <cellStyle name="Comma [0] 14" xfId="103" xr:uid="{00000000-0005-0000-0000-000006000000}"/>
    <cellStyle name="Comma [0] 15" xfId="104" xr:uid="{00000000-0005-0000-0000-000007000000}"/>
    <cellStyle name="Comma [0] 16" xfId="80" xr:uid="{00000000-0005-0000-0000-000008000000}"/>
    <cellStyle name="Comma [0] 17" xfId="164" xr:uid="{00000000-0005-0000-0000-000009000000}"/>
    <cellStyle name="Comma [0] 18" xfId="91" xr:uid="{00000000-0005-0000-0000-00000A000000}"/>
    <cellStyle name="Comma [0] 19" xfId="200" xr:uid="{00000000-0005-0000-0000-00000B000000}"/>
    <cellStyle name="Comma [0] 2" xfId="5" xr:uid="{00000000-0005-0000-0000-00000C000000}"/>
    <cellStyle name="Comma [0] 2 10" xfId="49" xr:uid="{00000000-0005-0000-0000-00000D000000}"/>
    <cellStyle name="Comma [0] 2 11" xfId="53" xr:uid="{00000000-0005-0000-0000-00000E000000}"/>
    <cellStyle name="Comma [0] 2 11 2" xfId="63" xr:uid="{00000000-0005-0000-0000-00000F000000}"/>
    <cellStyle name="Comma [0] 2 11 3" xfId="117" xr:uid="{00000000-0005-0000-0000-000010000000}"/>
    <cellStyle name="Comma [0] 2 12" xfId="68" xr:uid="{00000000-0005-0000-0000-000011000000}"/>
    <cellStyle name="Comma [0] 2 13" xfId="72" xr:uid="{00000000-0005-0000-0000-000012000000}"/>
    <cellStyle name="Comma [0] 2 14" xfId="89" xr:uid="{00000000-0005-0000-0000-000013000000}"/>
    <cellStyle name="Comma [0] 2 15" xfId="93" xr:uid="{00000000-0005-0000-0000-000014000000}"/>
    <cellStyle name="Comma [0] 2 16" xfId="95" xr:uid="{00000000-0005-0000-0000-000015000000}"/>
    <cellStyle name="Comma [0] 2 17" xfId="84" xr:uid="{00000000-0005-0000-0000-000016000000}"/>
    <cellStyle name="Comma [0] 2 18" xfId="106" xr:uid="{00000000-0005-0000-0000-000017000000}"/>
    <cellStyle name="Comma [0] 2 19" xfId="110" xr:uid="{00000000-0005-0000-0000-000018000000}"/>
    <cellStyle name="Comma [0] 2 2" xfId="9" xr:uid="{00000000-0005-0000-0000-000019000000}"/>
    <cellStyle name="Comma [0] 2 2 10" xfId="58" xr:uid="{00000000-0005-0000-0000-00001A000000}"/>
    <cellStyle name="Comma [0] 2 2 11" xfId="119" xr:uid="{00000000-0005-0000-0000-00001B000000}"/>
    <cellStyle name="Comma [0] 2 2 11 2" xfId="152" xr:uid="{00000000-0005-0000-0000-00001C000000}"/>
    <cellStyle name="Comma [0] 2 2 11 3" xfId="184" xr:uid="{00000000-0005-0000-0000-00001D000000}"/>
    <cellStyle name="Comma [0] 2 2 11 4" xfId="146" xr:uid="{00000000-0005-0000-0000-00001E000000}"/>
    <cellStyle name="Comma [0] 2 2 11 5" xfId="186" xr:uid="{00000000-0005-0000-0000-00001F000000}"/>
    <cellStyle name="Comma [0] 2 2 12" xfId="180" xr:uid="{00000000-0005-0000-0000-000020000000}"/>
    <cellStyle name="Comma [0] 2 2 13" xfId="181" xr:uid="{00000000-0005-0000-0000-000021000000}"/>
    <cellStyle name="Comma [0] 2 2 14" xfId="182" xr:uid="{00000000-0005-0000-0000-000022000000}"/>
    <cellStyle name="Comma [0] 2 2 15" xfId="131" xr:uid="{00000000-0005-0000-0000-000023000000}"/>
    <cellStyle name="Comma [0] 2 2 16" xfId="143" xr:uid="{00000000-0005-0000-0000-000024000000}"/>
    <cellStyle name="Comma [0] 2 2 17" xfId="187" xr:uid="{00000000-0005-0000-0000-000025000000}"/>
    <cellStyle name="Comma [0] 2 2 18" xfId="197" xr:uid="{00000000-0005-0000-0000-000026000000}"/>
    <cellStyle name="Comma [0] 2 2 18 2" xfId="222" xr:uid="{00000000-0005-0000-0000-000027000000}"/>
    <cellStyle name="Comma [0] 2 2 19" xfId="241" xr:uid="{00000000-0005-0000-0000-000028000000}"/>
    <cellStyle name="Comma [0] 2 2 2" xfId="11" xr:uid="{00000000-0005-0000-0000-000029000000}"/>
    <cellStyle name="Comma [0] 2 2 2 10" xfId="55" xr:uid="{00000000-0005-0000-0000-00002A000000}"/>
    <cellStyle name="Comma [0] 2 2 2 11" xfId="121" xr:uid="{00000000-0005-0000-0000-00002B000000}"/>
    <cellStyle name="Comma [0] 2 2 2 11 2" xfId="153" xr:uid="{00000000-0005-0000-0000-00002C000000}"/>
    <cellStyle name="Comma [0] 2 2 2 11 3" xfId="185" xr:uid="{00000000-0005-0000-0000-00002D000000}"/>
    <cellStyle name="Comma [0] 2 2 2 11 4" xfId="144" xr:uid="{00000000-0005-0000-0000-00002E000000}"/>
    <cellStyle name="Comma [0] 2 2 2 11 5" xfId="141" xr:uid="{00000000-0005-0000-0000-00002F000000}"/>
    <cellStyle name="Comma [0] 2 2 2 12" xfId="176" xr:uid="{00000000-0005-0000-0000-000030000000}"/>
    <cellStyle name="Comma [0] 2 2 2 13" xfId="174" xr:uid="{00000000-0005-0000-0000-000031000000}"/>
    <cellStyle name="Comma [0] 2 2 2 14" xfId="173" xr:uid="{00000000-0005-0000-0000-000032000000}"/>
    <cellStyle name="Comma [0] 2 2 2 15" xfId="125" xr:uid="{00000000-0005-0000-0000-000033000000}"/>
    <cellStyle name="Comma [0] 2 2 2 16" xfId="142" xr:uid="{00000000-0005-0000-0000-000034000000}"/>
    <cellStyle name="Comma [0] 2 2 2 17" xfId="183" xr:uid="{00000000-0005-0000-0000-000035000000}"/>
    <cellStyle name="Comma [0] 2 2 2 18" xfId="198" xr:uid="{00000000-0005-0000-0000-000036000000}"/>
    <cellStyle name="Comma [0] 2 2 2 18 2" xfId="224" xr:uid="{00000000-0005-0000-0000-000037000000}"/>
    <cellStyle name="Comma [0] 2 2 2 19" xfId="236" xr:uid="{00000000-0005-0000-0000-000038000000}"/>
    <cellStyle name="Comma [0] 2 2 2 2" xfId="56" xr:uid="{00000000-0005-0000-0000-000039000000}"/>
    <cellStyle name="Comma [0] 2 2 2 2 10" xfId="193" xr:uid="{00000000-0005-0000-0000-00003A000000}"/>
    <cellStyle name="Comma [0] 2 2 2 2 11" xfId="199" xr:uid="{00000000-0005-0000-0000-00003B000000}"/>
    <cellStyle name="Comma [0] 2 2 2 2 11 2" xfId="231" xr:uid="{00000000-0005-0000-0000-00003C000000}"/>
    <cellStyle name="Comma [0] 2 2 2 2 12" xfId="261" xr:uid="{00000000-0005-0000-0000-00003D000000}"/>
    <cellStyle name="Comma [0] 2 2 2 2 13" xfId="228" xr:uid="{00000000-0005-0000-0000-00003E000000}"/>
    <cellStyle name="Comma [0] 2 2 2 2 14" xfId="268" xr:uid="{00000000-0005-0000-0000-00003F000000}"/>
    <cellStyle name="Comma [0] 2 2 2 2 15" xfId="243" xr:uid="{00000000-0005-0000-0000-000040000000}"/>
    <cellStyle name="Comma [0] 2 2 2 2 16" xfId="263" xr:uid="{00000000-0005-0000-0000-000041000000}"/>
    <cellStyle name="Comma [0] 2 2 2 2 2" xfId="57" xr:uid="{00000000-0005-0000-0000-000042000000}"/>
    <cellStyle name="Comma [0] 2 2 2 2 2 10" xfId="202" xr:uid="{00000000-0005-0000-0000-000043000000}"/>
    <cellStyle name="Comma [0] 2 2 2 2 2 10 2" xfId="232" xr:uid="{00000000-0005-0000-0000-000044000000}"/>
    <cellStyle name="Comma [0] 2 2 2 2 2 11" xfId="264" xr:uid="{00000000-0005-0000-0000-000045000000}"/>
    <cellStyle name="Comma [0] 2 2 2 2 2 12" xfId="235" xr:uid="{00000000-0005-0000-0000-000046000000}"/>
    <cellStyle name="Comma [0] 2 2 2 2 2 13" xfId="237" xr:uid="{00000000-0005-0000-0000-000047000000}"/>
    <cellStyle name="Comma [0] 2 2 2 2 2 14" xfId="253" xr:uid="{00000000-0005-0000-0000-000048000000}"/>
    <cellStyle name="Comma [0] 2 2 2 2 2 15" xfId="242" xr:uid="{00000000-0005-0000-0000-000049000000}"/>
    <cellStyle name="Comma [0] 2 2 2 2 2 2" xfId="135" xr:uid="{00000000-0005-0000-0000-00004A000000}"/>
    <cellStyle name="Comma [0] 2 2 2 2 2 2 10" xfId="280" xr:uid="{00000000-0005-0000-0000-00004B000000}"/>
    <cellStyle name="Comma [0] 2 2 2 2 2 2 11" xfId="281" xr:uid="{00000000-0005-0000-0000-00004C000000}"/>
    <cellStyle name="Comma [0] 2 2 2 2 2 2 2" xfId="136" xr:uid="{00000000-0005-0000-0000-00004D000000}"/>
    <cellStyle name="Comma [0] 2 2 2 2 2 2 2 2" xfId="212" xr:uid="{00000000-0005-0000-0000-00004E000000}"/>
    <cellStyle name="Comma [0] 2 2 2 2 2 2 2 2 2" xfId="213" xr:uid="{00000000-0005-0000-0000-00004F000000}"/>
    <cellStyle name="Comma [0] 2 2 2 2 2 2 2 3" xfId="256" xr:uid="{00000000-0005-0000-0000-000050000000}"/>
    <cellStyle name="Comma [0] 2 2 2 2 2 2 2 4" xfId="265" xr:uid="{00000000-0005-0000-0000-000051000000}"/>
    <cellStyle name="Comma [0] 2 2 2 2 2 2 2 5" xfId="271" xr:uid="{00000000-0005-0000-0000-000052000000}"/>
    <cellStyle name="Comma [0] 2 2 2 2 2 2 2 6" xfId="275" xr:uid="{00000000-0005-0000-0000-000053000000}"/>
    <cellStyle name="Comma [0] 2 2 2 2 2 2 2 7" xfId="278" xr:uid="{00000000-0005-0000-0000-000054000000}"/>
    <cellStyle name="Comma [0] 2 2 2 2 2 2 2 8" xfId="248" xr:uid="{00000000-0005-0000-0000-000055000000}"/>
    <cellStyle name="Comma [0] 2 2 2 2 2 2 3" xfId="138" xr:uid="{00000000-0005-0000-0000-000056000000}"/>
    <cellStyle name="Comma [0] 2 2 2 2 2 2 4" xfId="192" xr:uid="{00000000-0005-0000-0000-000057000000}"/>
    <cellStyle name="Comma [0] 2 2 2 2 2 2 5" xfId="194" xr:uid="{00000000-0005-0000-0000-000058000000}"/>
    <cellStyle name="Comma [0] 2 2 2 2 2 2 6" xfId="203" xr:uid="{00000000-0005-0000-0000-000059000000}"/>
    <cellStyle name="Comma [0] 2 2 2 2 2 2 6 2" xfId="255" xr:uid="{00000000-0005-0000-0000-00005A000000}"/>
    <cellStyle name="Comma [0] 2 2 2 2 2 2 7" xfId="257" xr:uid="{00000000-0005-0000-0000-00005B000000}"/>
    <cellStyle name="Comma [0] 2 2 2 2 2 2 8" xfId="274" xr:uid="{00000000-0005-0000-0000-00005C000000}"/>
    <cellStyle name="Comma [0] 2 2 2 2 2 2 9" xfId="277" xr:uid="{00000000-0005-0000-0000-00005D000000}"/>
    <cellStyle name="Comma [0] 2 2 2 2 2 3" xfId="169" xr:uid="{00000000-0005-0000-0000-00005E000000}"/>
    <cellStyle name="Comma [0] 2 2 2 2 2 4" xfId="161" xr:uid="{00000000-0005-0000-0000-00005F000000}"/>
    <cellStyle name="Comma [0] 2 2 2 2 2 5" xfId="178" xr:uid="{00000000-0005-0000-0000-000060000000}"/>
    <cellStyle name="Comma [0] 2 2 2 2 2 6" xfId="179" xr:uid="{00000000-0005-0000-0000-000061000000}"/>
    <cellStyle name="Comma [0] 2 2 2 2 2 7" xfId="139" xr:uid="{00000000-0005-0000-0000-000062000000}"/>
    <cellStyle name="Comma [0] 2 2 2 2 2 8" xfId="188" xr:uid="{00000000-0005-0000-0000-000063000000}"/>
    <cellStyle name="Comma [0] 2 2 2 2 2 9" xfId="133" xr:uid="{00000000-0005-0000-0000-000064000000}"/>
    <cellStyle name="Comma [0] 2 2 2 2 3" xfId="61" xr:uid="{00000000-0005-0000-0000-000065000000}"/>
    <cellStyle name="Comma [0] 2 2 2 2 4" xfId="122" xr:uid="{00000000-0005-0000-0000-000066000000}"/>
    <cellStyle name="Comma [0] 2 2 2 2 4 2" xfId="168" xr:uid="{00000000-0005-0000-0000-000067000000}"/>
    <cellStyle name="Comma [0] 2 2 2 2 4 3" xfId="189" xr:uid="{00000000-0005-0000-0000-000068000000}"/>
    <cellStyle name="Comma [0] 2 2 2 2 4 4" xfId="190" xr:uid="{00000000-0005-0000-0000-000069000000}"/>
    <cellStyle name="Comma [0] 2 2 2 2 4 5" xfId="126" xr:uid="{00000000-0005-0000-0000-00006A000000}"/>
    <cellStyle name="Comma [0] 2 2 2 2 5" xfId="171" xr:uid="{00000000-0005-0000-0000-00006B000000}"/>
    <cellStyle name="Comma [0] 2 2 2 2 6" xfId="159" xr:uid="{00000000-0005-0000-0000-00006C000000}"/>
    <cellStyle name="Comma [0] 2 2 2 2 7" xfId="157" xr:uid="{00000000-0005-0000-0000-00006D000000}"/>
    <cellStyle name="Comma [0] 2 2 2 2 8" xfId="120" xr:uid="{00000000-0005-0000-0000-00006E000000}"/>
    <cellStyle name="Comma [0] 2 2 2 2 9" xfId="191" xr:uid="{00000000-0005-0000-0000-00006F000000}"/>
    <cellStyle name="Comma [0] 2 2 2 20" xfId="234" xr:uid="{00000000-0005-0000-0000-000070000000}"/>
    <cellStyle name="Comma [0] 2 2 2 21" xfId="262" xr:uid="{00000000-0005-0000-0000-000071000000}"/>
    <cellStyle name="Comma [0] 2 2 2 22" xfId="273" xr:uid="{00000000-0005-0000-0000-000072000000}"/>
    <cellStyle name="Comma [0] 2 2 2 23" xfId="279" xr:uid="{00000000-0005-0000-0000-000073000000}"/>
    <cellStyle name="Comma [0] 2 2 2 3" xfId="77" xr:uid="{00000000-0005-0000-0000-000074000000}"/>
    <cellStyle name="Comma [0] 2 2 2 4" xfId="94" xr:uid="{00000000-0005-0000-0000-000075000000}"/>
    <cellStyle name="Comma [0] 2 2 2 5" xfId="102" xr:uid="{00000000-0005-0000-0000-000076000000}"/>
    <cellStyle name="Comma [0] 2 2 2 6" xfId="101" xr:uid="{00000000-0005-0000-0000-000077000000}"/>
    <cellStyle name="Comma [0] 2 2 2 7" xfId="98" xr:uid="{00000000-0005-0000-0000-000078000000}"/>
    <cellStyle name="Comma [0] 2 2 2 8" xfId="75" xr:uid="{00000000-0005-0000-0000-000079000000}"/>
    <cellStyle name="Comma [0] 2 2 2 9" xfId="96" xr:uid="{00000000-0005-0000-0000-00007A000000}"/>
    <cellStyle name="Comma [0] 2 2 20" xfId="245" xr:uid="{00000000-0005-0000-0000-00007B000000}"/>
    <cellStyle name="Comma [0] 2 2 21" xfId="272" xr:uid="{00000000-0005-0000-0000-00007C000000}"/>
    <cellStyle name="Comma [0] 2 2 22" xfId="276" xr:uid="{00000000-0005-0000-0000-00007D000000}"/>
    <cellStyle name="Comma [0] 2 2 23" xfId="239" xr:uid="{00000000-0005-0000-0000-00007E000000}"/>
    <cellStyle name="Comma [0] 2 2 3" xfId="54" xr:uid="{00000000-0005-0000-0000-00007F000000}"/>
    <cellStyle name="Comma [0] 2 2 3 2" xfId="76" xr:uid="{00000000-0005-0000-0000-000080000000}"/>
    <cellStyle name="Comma [0] 2 2 3 3" xfId="118" xr:uid="{00000000-0005-0000-0000-000081000000}"/>
    <cellStyle name="Comma [0] 2 2 4" xfId="79" xr:uid="{00000000-0005-0000-0000-000082000000}"/>
    <cellStyle name="Comma [0] 2 2 5" xfId="88" xr:uid="{00000000-0005-0000-0000-000083000000}"/>
    <cellStyle name="Comma [0] 2 2 6" xfId="105" xr:uid="{00000000-0005-0000-0000-000084000000}"/>
    <cellStyle name="Comma [0] 2 2 7" xfId="109" xr:uid="{00000000-0005-0000-0000-000085000000}"/>
    <cellStyle name="Comma [0] 2 2 8" xfId="113" xr:uid="{00000000-0005-0000-0000-000086000000}"/>
    <cellStyle name="Comma [0] 2 2 9" xfId="116" xr:uid="{00000000-0005-0000-0000-000087000000}"/>
    <cellStyle name="Comma [0] 2 20" xfId="59" xr:uid="{00000000-0005-0000-0000-000088000000}"/>
    <cellStyle name="Comma [0] 2 21" xfId="149" xr:uid="{00000000-0005-0000-0000-000089000000}"/>
    <cellStyle name="Comma [0] 2 22" xfId="158" xr:uid="{00000000-0005-0000-0000-00008A000000}"/>
    <cellStyle name="Comma [0] 2 23" xfId="163" xr:uid="{00000000-0005-0000-0000-00008B000000}"/>
    <cellStyle name="Comma [0] 2 24" xfId="165" xr:uid="{00000000-0005-0000-0000-00008C000000}"/>
    <cellStyle name="Comma [0] 2 25" xfId="196" xr:uid="{00000000-0005-0000-0000-00008D000000}"/>
    <cellStyle name="Comma [0] 2 25 2" xfId="219" xr:uid="{00000000-0005-0000-0000-00008E000000}"/>
    <cellStyle name="Comma [0] 2 26" xfId="250" xr:uid="{00000000-0005-0000-0000-00008F000000}"/>
    <cellStyle name="Comma [0] 2 27" xfId="233" xr:uid="{00000000-0005-0000-0000-000090000000}"/>
    <cellStyle name="Comma [0] 2 28" xfId="226" xr:uid="{00000000-0005-0000-0000-000091000000}"/>
    <cellStyle name="Comma [0] 2 29" xfId="247" xr:uid="{00000000-0005-0000-0000-000092000000}"/>
    <cellStyle name="Comma [0] 2 3" xfId="16" xr:uid="{00000000-0005-0000-0000-000093000000}"/>
    <cellStyle name="Comma [0] 2 30" xfId="252" xr:uid="{00000000-0005-0000-0000-000094000000}"/>
    <cellStyle name="Comma [0] 2 4" xfId="20" xr:uid="{00000000-0005-0000-0000-000095000000}"/>
    <cellStyle name="Comma [0] 2 5" xfId="25" xr:uid="{00000000-0005-0000-0000-000096000000}"/>
    <cellStyle name="Comma [0] 2 6" xfId="30" xr:uid="{00000000-0005-0000-0000-000097000000}"/>
    <cellStyle name="Comma [0] 2 7" xfId="35" xr:uid="{00000000-0005-0000-0000-000098000000}"/>
    <cellStyle name="Comma [0] 2 8" xfId="39" xr:uid="{00000000-0005-0000-0000-000099000000}"/>
    <cellStyle name="Comma [0] 2 9" xfId="44" xr:uid="{00000000-0005-0000-0000-00009A000000}"/>
    <cellStyle name="Comma [0] 20" xfId="258" xr:uid="{00000000-0005-0000-0000-00009B000000}"/>
    <cellStyle name="Comma [0] 22" xfId="223" xr:uid="{00000000-0005-0000-0000-00009C000000}"/>
    <cellStyle name="Comma [0] 23" xfId="225" xr:uid="{00000000-0005-0000-0000-00009D000000}"/>
    <cellStyle name="Comma [0] 24" xfId="238" xr:uid="{00000000-0005-0000-0000-00009E000000}"/>
    <cellStyle name="Comma [0] 3" xfId="8" xr:uid="{00000000-0005-0000-0000-00009F000000}"/>
    <cellStyle name="Comma [0] 4" xfId="14" xr:uid="{00000000-0005-0000-0000-0000A0000000}"/>
    <cellStyle name="Comma [0] 5" xfId="123" xr:uid="{00000000-0005-0000-0000-0000A1000000}"/>
    <cellStyle name="Comma [0] 6" xfId="23" xr:uid="{00000000-0005-0000-0000-0000A2000000}"/>
    <cellStyle name="Comma [0] 7" xfId="28" xr:uid="{00000000-0005-0000-0000-0000A3000000}"/>
    <cellStyle name="Comma [0] 8" xfId="33" xr:uid="{00000000-0005-0000-0000-0000A4000000}"/>
    <cellStyle name="Comma [0] 9" xfId="66" xr:uid="{00000000-0005-0000-0000-0000A5000000}"/>
    <cellStyle name="Comma 2" xfId="7" xr:uid="{00000000-0005-0000-0000-0000A6000000}"/>
    <cellStyle name="Comma 2 10" xfId="51" xr:uid="{00000000-0005-0000-0000-0000A7000000}"/>
    <cellStyle name="Comma 2 11" xfId="65" xr:uid="{00000000-0005-0000-0000-0000A8000000}"/>
    <cellStyle name="Comma 2 12" xfId="70" xr:uid="{00000000-0005-0000-0000-0000A9000000}"/>
    <cellStyle name="Comma 2 13" xfId="74" xr:uid="{00000000-0005-0000-0000-0000AA000000}"/>
    <cellStyle name="Comma 2 14" xfId="82" xr:uid="{00000000-0005-0000-0000-0000AB000000}"/>
    <cellStyle name="Comma 2 15" xfId="78" xr:uid="{00000000-0005-0000-0000-0000AC000000}"/>
    <cellStyle name="Comma 2 16" xfId="100" xr:uid="{00000000-0005-0000-0000-0000AD000000}"/>
    <cellStyle name="Comma 2 17" xfId="83" xr:uid="{00000000-0005-0000-0000-0000AE000000}"/>
    <cellStyle name="Comma 2 18" xfId="81" xr:uid="{00000000-0005-0000-0000-0000AF000000}"/>
    <cellStyle name="Comma 2 19" xfId="90" xr:uid="{00000000-0005-0000-0000-0000B0000000}"/>
    <cellStyle name="Comma 2 2" xfId="13" xr:uid="{00000000-0005-0000-0000-0000B1000000}"/>
    <cellStyle name="Comma 2 20" xfId="151" xr:uid="{00000000-0005-0000-0000-0000B2000000}"/>
    <cellStyle name="Comma 2 21" xfId="154" xr:uid="{00000000-0005-0000-0000-0000B3000000}"/>
    <cellStyle name="Comma 2 22" xfId="177" xr:uid="{00000000-0005-0000-0000-0000B4000000}"/>
    <cellStyle name="Comma 2 23" xfId="167" xr:uid="{00000000-0005-0000-0000-0000B5000000}"/>
    <cellStyle name="Comma 2 24" xfId="221" xr:uid="{00000000-0005-0000-0000-0000B6000000}"/>
    <cellStyle name="Comma 2 25" xfId="240" xr:uid="{00000000-0005-0000-0000-0000B7000000}"/>
    <cellStyle name="Comma 2 26" xfId="270" xr:uid="{00000000-0005-0000-0000-0000B8000000}"/>
    <cellStyle name="Comma 2 27" xfId="246" xr:uid="{00000000-0005-0000-0000-0000B9000000}"/>
    <cellStyle name="Comma 2 28" xfId="266" xr:uid="{00000000-0005-0000-0000-0000BA000000}"/>
    <cellStyle name="Comma 2 29" xfId="259" xr:uid="{00000000-0005-0000-0000-0000BB000000}"/>
    <cellStyle name="Comma 2 3" xfId="18" xr:uid="{00000000-0005-0000-0000-0000BC000000}"/>
    <cellStyle name="Comma 2 4" xfId="22" xr:uid="{00000000-0005-0000-0000-0000BD000000}"/>
    <cellStyle name="Comma 2 5" xfId="27" xr:uid="{00000000-0005-0000-0000-0000BE000000}"/>
    <cellStyle name="Comma 2 6" xfId="32" xr:uid="{00000000-0005-0000-0000-0000BF000000}"/>
    <cellStyle name="Comma 2 7" xfId="37" xr:uid="{00000000-0005-0000-0000-0000C0000000}"/>
    <cellStyle name="Comma 2 8" xfId="41" xr:uid="{00000000-0005-0000-0000-0000C1000000}"/>
    <cellStyle name="Comma 2 9" xfId="46" xr:uid="{00000000-0005-0000-0000-0000C2000000}"/>
    <cellStyle name="Normal" xfId="0" builtinId="0"/>
    <cellStyle name="Normal 2" xfId="4" xr:uid="{00000000-0005-0000-0000-0000C4000000}"/>
    <cellStyle name="Normal 2 10" xfId="48" xr:uid="{00000000-0005-0000-0000-0000C5000000}"/>
    <cellStyle name="Normal 2 11" xfId="62" xr:uid="{00000000-0005-0000-0000-0000C6000000}"/>
    <cellStyle name="Normal 2 12" xfId="67" xr:uid="{00000000-0005-0000-0000-0000C7000000}"/>
    <cellStyle name="Normal 2 13" xfId="71" xr:uid="{00000000-0005-0000-0000-0000C8000000}"/>
    <cellStyle name="Normal 2 14" xfId="92" xr:uid="{00000000-0005-0000-0000-0000C9000000}"/>
    <cellStyle name="Normal 2 15" xfId="97" xr:uid="{00000000-0005-0000-0000-0000CA000000}"/>
    <cellStyle name="Normal 2 16" xfId="99" xr:uid="{00000000-0005-0000-0000-0000CB000000}"/>
    <cellStyle name="Normal 2 17" xfId="108" xr:uid="{00000000-0005-0000-0000-0000CC000000}"/>
    <cellStyle name="Normal 2 18" xfId="112" xr:uid="{00000000-0005-0000-0000-0000CD000000}"/>
    <cellStyle name="Normal 2 19" xfId="115" xr:uid="{00000000-0005-0000-0000-0000CE000000}"/>
    <cellStyle name="Normal 2 2" xfId="10" xr:uid="{00000000-0005-0000-0000-0000CF000000}"/>
    <cellStyle name="Normal 2 20" xfId="148" xr:uid="{00000000-0005-0000-0000-0000D0000000}"/>
    <cellStyle name="Normal 2 21" xfId="160" xr:uid="{00000000-0005-0000-0000-0000D1000000}"/>
    <cellStyle name="Normal 2 22" xfId="155" xr:uid="{00000000-0005-0000-0000-0000D2000000}"/>
    <cellStyle name="Normal 2 23" xfId="172" xr:uid="{00000000-0005-0000-0000-0000D3000000}"/>
    <cellStyle name="Normal 2 24" xfId="218" xr:uid="{00000000-0005-0000-0000-0000D4000000}"/>
    <cellStyle name="Normal 2 25" xfId="251" xr:uid="{00000000-0005-0000-0000-0000D5000000}"/>
    <cellStyle name="Normal 2 26" xfId="229" xr:uid="{00000000-0005-0000-0000-0000D6000000}"/>
    <cellStyle name="Normal 2 27" xfId="269" xr:uid="{00000000-0005-0000-0000-0000D7000000}"/>
    <cellStyle name="Normal 2 28" xfId="230" xr:uid="{00000000-0005-0000-0000-0000D8000000}"/>
    <cellStyle name="Normal 2 29" xfId="267" xr:uid="{00000000-0005-0000-0000-0000D9000000}"/>
    <cellStyle name="Normal 2 3" xfId="15" xr:uid="{00000000-0005-0000-0000-0000DA000000}"/>
    <cellStyle name="Normal 2 4" xfId="19" xr:uid="{00000000-0005-0000-0000-0000DB000000}"/>
    <cellStyle name="Normal 2 5" xfId="24" xr:uid="{00000000-0005-0000-0000-0000DC000000}"/>
    <cellStyle name="Normal 2 6" xfId="29" xr:uid="{00000000-0005-0000-0000-0000DD000000}"/>
    <cellStyle name="Normal 2 7" xfId="34" xr:uid="{00000000-0005-0000-0000-0000DE000000}"/>
    <cellStyle name="Normal 2 8" xfId="38" xr:uid="{00000000-0005-0000-0000-0000DF000000}"/>
    <cellStyle name="Normal 2 9" xfId="43" xr:uid="{00000000-0005-0000-0000-0000E0000000}"/>
    <cellStyle name="Normal 3" xfId="52" xr:uid="{00000000-0005-0000-0000-0000E1000000}"/>
    <cellStyle name="Normal 3 2" xfId="134" xr:uid="{00000000-0005-0000-0000-0000E2000000}"/>
    <cellStyle name="Normal 3 2 2" xfId="211" xr:uid="{00000000-0005-0000-0000-0000E3000000}"/>
    <cellStyle name="Normal 3 3" xfId="145" xr:uid="{00000000-0005-0000-0000-0000E4000000}"/>
    <cellStyle name="Normal 3 3 2" xfId="216" xr:uid="{00000000-0005-0000-0000-0000E5000000}"/>
    <cellStyle name="Normal 3 4" xfId="147" xr:uid="{00000000-0005-0000-0000-0000E6000000}"/>
    <cellStyle name="Normal 3 4 2" xfId="217" xr:uid="{00000000-0005-0000-0000-0000E7000000}"/>
    <cellStyle name="Normal 3 5" xfId="140" xr:uid="{00000000-0005-0000-0000-0000E8000000}"/>
    <cellStyle name="Normal 3 5 2" xfId="215" xr:uid="{00000000-0005-0000-0000-0000E9000000}"/>
    <cellStyle name="Normal 3 6" xfId="201" xr:uid="{00000000-0005-0000-0000-0000EA000000}"/>
    <cellStyle name="Normal 4" xfId="60" xr:uid="{00000000-0005-0000-0000-0000EB000000}"/>
    <cellStyle name="Normal 4 2" xfId="137" xr:uid="{00000000-0005-0000-0000-0000EC000000}"/>
    <cellStyle name="Normal 4 2 2" xfId="214" xr:uid="{00000000-0005-0000-0000-0000ED000000}"/>
    <cellStyle name="Normal 4 3" xfId="130" xr:uid="{00000000-0005-0000-0000-0000EE000000}"/>
    <cellStyle name="Normal 4 3 2" xfId="209" xr:uid="{00000000-0005-0000-0000-0000EF000000}"/>
    <cellStyle name="Normal 4 4" xfId="127" xr:uid="{00000000-0005-0000-0000-0000F0000000}"/>
    <cellStyle name="Normal 4 4 2" xfId="206" xr:uid="{00000000-0005-0000-0000-0000F1000000}"/>
    <cellStyle name="Normal 4 5" xfId="129" xr:uid="{00000000-0005-0000-0000-0000F2000000}"/>
    <cellStyle name="Normal 4 5 2" xfId="208" xr:uid="{00000000-0005-0000-0000-0000F3000000}"/>
    <cellStyle name="Normal 4 6" xfId="204" xr:uid="{00000000-0005-0000-0000-0000F4000000}"/>
    <cellStyle name="Normal 5" xfId="195" xr:uid="{00000000-0005-0000-0000-0000F5000000}"/>
    <cellStyle name="Normal 6" xfId="132" xr:uid="{00000000-0005-0000-0000-0000F6000000}"/>
    <cellStyle name="Normal 6 2" xfId="210" xr:uid="{00000000-0005-0000-0000-0000F7000000}"/>
    <cellStyle name="Normal 7" xfId="128" xr:uid="{00000000-0005-0000-0000-0000F8000000}"/>
    <cellStyle name="Normal 7 2" xfId="207" xr:uid="{00000000-0005-0000-0000-0000F9000000}"/>
    <cellStyle name="Normal 8" xfId="124" xr:uid="{00000000-0005-0000-0000-0000FA000000}"/>
    <cellStyle name="Normal 8 2" xfId="205" xr:uid="{00000000-0005-0000-0000-0000FB000000}"/>
    <cellStyle name="Percent" xfId="3" builtinId="5"/>
    <cellStyle name="Percent 2" xfId="6" xr:uid="{00000000-0005-0000-0000-0000FD000000}"/>
    <cellStyle name="Percent 2 10" xfId="50" xr:uid="{00000000-0005-0000-0000-0000FE000000}"/>
    <cellStyle name="Percent 2 11" xfId="64" xr:uid="{00000000-0005-0000-0000-0000FF000000}"/>
    <cellStyle name="Percent 2 12" xfId="69" xr:uid="{00000000-0005-0000-0000-000000010000}"/>
    <cellStyle name="Percent 2 13" xfId="73" xr:uid="{00000000-0005-0000-0000-000001010000}"/>
    <cellStyle name="Percent 2 14" xfId="86" xr:uid="{00000000-0005-0000-0000-000002010000}"/>
    <cellStyle name="Percent 2 15" xfId="87" xr:uid="{00000000-0005-0000-0000-000003010000}"/>
    <cellStyle name="Percent 2 16" xfId="85" xr:uid="{00000000-0005-0000-0000-000004010000}"/>
    <cellStyle name="Percent 2 17" xfId="107" xr:uid="{00000000-0005-0000-0000-000005010000}"/>
    <cellStyle name="Percent 2 18" xfId="111" xr:uid="{00000000-0005-0000-0000-000006010000}"/>
    <cellStyle name="Percent 2 19" xfId="114" xr:uid="{00000000-0005-0000-0000-000007010000}"/>
    <cellStyle name="Percent 2 2" xfId="12" xr:uid="{00000000-0005-0000-0000-000008010000}"/>
    <cellStyle name="Percent 2 20" xfId="150" xr:uid="{00000000-0005-0000-0000-000009010000}"/>
    <cellStyle name="Percent 2 21" xfId="156" xr:uid="{00000000-0005-0000-0000-00000A010000}"/>
    <cellStyle name="Percent 2 22" xfId="166" xr:uid="{00000000-0005-0000-0000-00000B010000}"/>
    <cellStyle name="Percent 2 23" xfId="175" xr:uid="{00000000-0005-0000-0000-00000C010000}"/>
    <cellStyle name="Percent 2 24" xfId="220" xr:uid="{00000000-0005-0000-0000-00000D010000}"/>
    <cellStyle name="Percent 2 25" xfId="249" xr:uid="{00000000-0005-0000-0000-00000E010000}"/>
    <cellStyle name="Percent 2 26" xfId="254" xr:uid="{00000000-0005-0000-0000-00000F010000}"/>
    <cellStyle name="Percent 2 27" xfId="260" xr:uid="{00000000-0005-0000-0000-000010010000}"/>
    <cellStyle name="Percent 2 28" xfId="244" xr:uid="{00000000-0005-0000-0000-000011010000}"/>
    <cellStyle name="Percent 2 29" xfId="227" xr:uid="{00000000-0005-0000-0000-000012010000}"/>
    <cellStyle name="Percent 2 3" xfId="17" xr:uid="{00000000-0005-0000-0000-000013010000}"/>
    <cellStyle name="Percent 2 4" xfId="21" xr:uid="{00000000-0005-0000-0000-000014010000}"/>
    <cellStyle name="Percent 2 5" xfId="26" xr:uid="{00000000-0005-0000-0000-000015010000}"/>
    <cellStyle name="Percent 2 6" xfId="31" xr:uid="{00000000-0005-0000-0000-000016010000}"/>
    <cellStyle name="Percent 2 7" xfId="36" xr:uid="{00000000-0005-0000-0000-000017010000}"/>
    <cellStyle name="Percent 2 8" xfId="40" xr:uid="{00000000-0005-0000-0000-000018010000}"/>
    <cellStyle name="Percent 2 9" xfId="45" xr:uid="{00000000-0005-0000-0000-00001901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4"/>
  <sheetViews>
    <sheetView view="pageBreakPreview" topLeftCell="A76" zoomScale="84" zoomScaleNormal="75" zoomScaleSheetLayoutView="84" workbookViewId="0">
      <selection activeCell="G98" sqref="A1:XFD104857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48" t="s">
        <v>148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50"/>
      <c r="O1" s="87"/>
      <c r="P1" s="88">
        <v>1</v>
      </c>
      <c r="Q1" s="88" t="s">
        <v>183</v>
      </c>
    </row>
    <row r="2" spans="1:20" ht="33.5" x14ac:dyDescent="0.85">
      <c r="A2" s="351" t="s">
        <v>155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215" t="s">
        <v>156</v>
      </c>
      <c r="E5" s="216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54" t="s">
        <v>4</v>
      </c>
      <c r="B6" s="357" t="s">
        <v>5</v>
      </c>
      <c r="C6" s="357"/>
      <c r="D6" s="358"/>
      <c r="E6" s="363" t="s">
        <v>6</v>
      </c>
      <c r="F6" s="366" t="s">
        <v>7</v>
      </c>
      <c r="G6" s="366" t="s">
        <v>158</v>
      </c>
      <c r="H6" s="366" t="s">
        <v>9</v>
      </c>
      <c r="I6" s="369" t="s">
        <v>10</v>
      </c>
      <c r="J6" s="369"/>
      <c r="K6" s="369"/>
      <c r="L6" s="369"/>
      <c r="M6" s="366" t="s">
        <v>11</v>
      </c>
      <c r="N6" s="354" t="s">
        <v>12</v>
      </c>
      <c r="O6" s="98"/>
    </row>
    <row r="7" spans="1:20" ht="15.5" x14ac:dyDescent="0.35">
      <c r="A7" s="355"/>
      <c r="B7" s="359"/>
      <c r="C7" s="359"/>
      <c r="D7" s="360"/>
      <c r="E7" s="364"/>
      <c r="F7" s="367"/>
      <c r="G7" s="367"/>
      <c r="H7" s="367"/>
      <c r="I7" s="369" t="s">
        <v>13</v>
      </c>
      <c r="J7" s="369"/>
      <c r="K7" s="370" t="s">
        <v>14</v>
      </c>
      <c r="L7" s="370"/>
      <c r="M7" s="367"/>
      <c r="N7" s="355"/>
      <c r="O7" s="98"/>
    </row>
    <row r="8" spans="1:20" ht="15.5" x14ac:dyDescent="0.35">
      <c r="A8" s="356"/>
      <c r="B8" s="361"/>
      <c r="C8" s="361"/>
      <c r="D8" s="362"/>
      <c r="E8" s="365"/>
      <c r="F8" s="368"/>
      <c r="G8" s="368"/>
      <c r="H8" s="368"/>
      <c r="I8" s="99" t="s">
        <v>15</v>
      </c>
      <c r="J8" s="99" t="s">
        <v>16</v>
      </c>
      <c r="K8" s="99" t="s">
        <v>16</v>
      </c>
      <c r="L8" s="100" t="s">
        <v>17</v>
      </c>
      <c r="M8" s="368"/>
      <c r="N8" s="35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45" t="s">
        <v>24</v>
      </c>
      <c r="C12" s="346"/>
      <c r="D12" s="347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45" t="s">
        <v>30</v>
      </c>
      <c r="C15" s="346"/>
      <c r="D15" s="347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45" t="s">
        <v>42</v>
      </c>
      <c r="C21" s="346"/>
      <c r="D21" s="347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42" t="s">
        <v>44</v>
      </c>
      <c r="C23" s="343"/>
      <c r="D23" s="344"/>
      <c r="E23" s="197">
        <f>SUM(E24:E29)</f>
        <v>186049400</v>
      </c>
      <c r="F23" s="184">
        <v>0</v>
      </c>
      <c r="G23" s="184">
        <v>0</v>
      </c>
      <c r="H23" s="185">
        <f t="shared" ref="H23" si="10">SUM(H24:H29)</f>
        <v>8.8572575869336347</v>
      </c>
      <c r="I23" s="195">
        <f t="shared" ref="I23" si="11">SUM(I24:I29)</f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 t="shared" ref="K25" si="13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42" t="s">
        <v>60</v>
      </c>
      <c r="C31" s="343"/>
      <c r="D31" s="344"/>
      <c r="E31" s="197">
        <f t="shared" ref="E31:N31" si="14">SUM(E32)</f>
        <v>1000000</v>
      </c>
      <c r="F31" s="184">
        <v>0</v>
      </c>
      <c r="G31" s="184">
        <v>0</v>
      </c>
      <c r="H31" s="185">
        <f t="shared" si="14"/>
        <v>4.7607020430776095E-2</v>
      </c>
      <c r="I31" s="195">
        <f t="shared" si="14"/>
        <v>0</v>
      </c>
      <c r="J31" s="187">
        <f t="shared" si="7"/>
        <v>0</v>
      </c>
      <c r="K31" s="195">
        <f t="shared" si="14"/>
        <v>0</v>
      </c>
      <c r="L31" s="195">
        <f t="shared" si="14"/>
        <v>0</v>
      </c>
      <c r="M31" s="185">
        <f>SUM(M32)</f>
        <v>1000000</v>
      </c>
      <c r="N31" s="184">
        <f t="shared" si="14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45" t="s">
        <v>62</v>
      </c>
      <c r="C32" s="346"/>
      <c r="D32" s="347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42" t="s">
        <v>64</v>
      </c>
      <c r="C34" s="343"/>
      <c r="D34" s="344"/>
      <c r="E34" s="197">
        <f t="shared" ref="E34:N34" si="15">E35</f>
        <v>125734000</v>
      </c>
      <c r="F34" s="184">
        <v>0</v>
      </c>
      <c r="G34" s="184">
        <v>0</v>
      </c>
      <c r="H34" s="185">
        <f t="shared" si="15"/>
        <v>5.9858211068432015</v>
      </c>
      <c r="I34" s="195">
        <f t="shared" si="15"/>
        <v>12000000</v>
      </c>
      <c r="J34" s="187"/>
      <c r="K34" s="195">
        <f t="shared" si="15"/>
        <v>16.666666666666668</v>
      </c>
      <c r="L34" s="195">
        <f t="shared" si="15"/>
        <v>0.99763685114053358</v>
      </c>
      <c r="M34" s="185">
        <f t="shared" si="15"/>
        <v>113734000</v>
      </c>
      <c r="N34" s="184">
        <f t="shared" si="15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42" t="s">
        <v>70</v>
      </c>
      <c r="C37" s="343"/>
      <c r="D37" s="344"/>
      <c r="E37" s="197">
        <f>SUM(E38:E39)</f>
        <v>277264000</v>
      </c>
      <c r="F37" s="184">
        <v>0</v>
      </c>
      <c r="G37" s="184">
        <v>0</v>
      </c>
      <c r="H37" s="185">
        <f t="shared" ref="H37:M37" si="16">SUM(H38:H39)</f>
        <v>13.199712912718702</v>
      </c>
      <c r="I37" s="195">
        <f t="shared" ref="I37" si="17">SUM(I38:I39)</f>
        <v>19200000</v>
      </c>
      <c r="J37" s="187"/>
      <c r="K37" s="195">
        <f>SUM(K38:K39)/2</f>
        <v>8.3333333333333321</v>
      </c>
      <c r="L37" s="195">
        <f t="shared" si="16"/>
        <v>2.0232983683079837</v>
      </c>
      <c r="M37" s="185">
        <f t="shared" si="16"/>
        <v>258064000</v>
      </c>
      <c r="N37" s="184">
        <f t="shared" ref="N37" si="18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45" t="s">
        <v>72</v>
      </c>
      <c r="C38" s="346"/>
      <c r="D38" s="347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45" t="s">
        <v>74</v>
      </c>
      <c r="C39" s="346"/>
      <c r="D39" s="347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9">SUM(H42:H43)</f>
        <v>3.8768777087802517</v>
      </c>
      <c r="I41" s="195">
        <f t="shared" ref="I41" si="20">SUM(I42:I43)</f>
        <v>0</v>
      </c>
      <c r="J41" s="187">
        <f t="shared" si="7"/>
        <v>0</v>
      </c>
      <c r="K41" s="195">
        <f>SUM(K42:K43)/2</f>
        <v>37.5</v>
      </c>
      <c r="L41" s="195">
        <f t="shared" si="19"/>
        <v>1.3906605755585084</v>
      </c>
      <c r="M41" s="185">
        <f t="shared" si="19"/>
        <v>81435000</v>
      </c>
      <c r="N41" s="184">
        <f t="shared" ref="N41" si="21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42" t="s">
        <v>86</v>
      </c>
      <c r="C45" s="343"/>
      <c r="D45" s="344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22">SUM(H46:H50)</f>
        <v>7.7309921207415275</v>
      </c>
      <c r="I45" s="195">
        <f t="shared" ref="I45" si="23">SUM(I46:I50)</f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22"/>
        <v>1.353508810592154</v>
      </c>
      <c r="M45" s="185">
        <f t="shared" si="22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" si="24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ref="L47:L49" si="25">K47*H47/100</f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6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45" t="s">
        <v>94</v>
      </c>
      <c r="C49" s="346"/>
      <c r="D49" s="347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5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6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7">SUM(H53:H54)</f>
        <v>0.95214040861552185</v>
      </c>
      <c r="I52" s="195">
        <f t="shared" ref="I52" si="28">SUM(I53:I54)</f>
        <v>0</v>
      </c>
      <c r="J52" s="187">
        <f t="shared" si="7"/>
        <v>0</v>
      </c>
      <c r="K52" s="195">
        <f>SUM(K53:K54)/2</f>
        <v>0</v>
      </c>
      <c r="L52" s="195">
        <f t="shared" si="27"/>
        <v>0</v>
      </c>
      <c r="M52" s="185">
        <f t="shared" si="27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9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9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42" t="s">
        <v>104</v>
      </c>
      <c r="C56" s="343"/>
      <c r="D56" s="344"/>
      <c r="E56" s="199">
        <f t="shared" ref="E56:N56" si="30">SUM(E57)</f>
        <v>61200000</v>
      </c>
      <c r="F56" s="192">
        <f t="shared" si="30"/>
        <v>0</v>
      </c>
      <c r="G56" s="192">
        <f t="shared" si="30"/>
        <v>0</v>
      </c>
      <c r="H56" s="193">
        <f t="shared" si="30"/>
        <v>2.913549650363497</v>
      </c>
      <c r="I56" s="205">
        <f t="shared" si="30"/>
        <v>1800000</v>
      </c>
      <c r="J56" s="187"/>
      <c r="K56" s="205">
        <f t="shared" si="30"/>
        <v>8.5692636775396971E-2</v>
      </c>
      <c r="L56" s="205">
        <f t="shared" si="30"/>
        <v>2.4966975191568399E-3</v>
      </c>
      <c r="M56" s="193">
        <f t="shared" si="30"/>
        <v>59400000</v>
      </c>
      <c r="N56" s="192">
        <f t="shared" si="30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31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42" t="s">
        <v>116</v>
      </c>
      <c r="C59" s="343"/>
      <c r="D59" s="344"/>
      <c r="E59" s="197">
        <f t="shared" ref="E59:N59" si="32">E60</f>
        <v>151914500</v>
      </c>
      <c r="F59" s="184">
        <f t="shared" si="32"/>
        <v>0</v>
      </c>
      <c r="G59" s="184">
        <f t="shared" si="32"/>
        <v>0</v>
      </c>
      <c r="H59" s="185">
        <f t="shared" si="32"/>
        <v>7.2321967052311349</v>
      </c>
      <c r="I59" s="195">
        <f t="shared" si="32"/>
        <v>0</v>
      </c>
      <c r="J59" s="187">
        <f t="shared" si="7"/>
        <v>0</v>
      </c>
      <c r="K59" s="195">
        <f t="shared" si="32"/>
        <v>16.666666666666664</v>
      </c>
      <c r="L59" s="195">
        <f t="shared" si="32"/>
        <v>1.2053661175385222</v>
      </c>
      <c r="M59" s="185">
        <f t="shared" si="32"/>
        <v>151914500</v>
      </c>
      <c r="N59" s="184">
        <f t="shared" si="32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45" t="s">
        <v>118</v>
      </c>
      <c r="C60" s="346"/>
      <c r="D60" s="347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33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42" t="s">
        <v>124</v>
      </c>
      <c r="C62" s="343"/>
      <c r="D62" s="344"/>
      <c r="E62" s="197">
        <f t="shared" ref="E62:N62" si="34">E63</f>
        <v>5671000</v>
      </c>
      <c r="F62" s="184">
        <f t="shared" si="34"/>
        <v>0</v>
      </c>
      <c r="G62" s="184">
        <f t="shared" si="34"/>
        <v>0</v>
      </c>
      <c r="H62" s="185">
        <f t="shared" si="34"/>
        <v>0.2699794128629312</v>
      </c>
      <c r="I62" s="195">
        <f t="shared" si="34"/>
        <v>0</v>
      </c>
      <c r="J62" s="187">
        <f t="shared" si="7"/>
        <v>0</v>
      </c>
      <c r="K62" s="195">
        <f t="shared" si="34"/>
        <v>0</v>
      </c>
      <c r="L62" s="195">
        <f t="shared" si="34"/>
        <v>0</v>
      </c>
      <c r="M62" s="185">
        <f t="shared" si="34"/>
        <v>5671000</v>
      </c>
      <c r="N62" s="184">
        <f t="shared" si="34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45" t="s">
        <v>126</v>
      </c>
      <c r="C63" s="346"/>
      <c r="D63" s="347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35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42" t="s">
        <v>128</v>
      </c>
      <c r="C65" s="343"/>
      <c r="D65" s="344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6">SUM(H66:H71)</f>
        <v>13.205949432395135</v>
      </c>
      <c r="I65" s="195">
        <f t="shared" si="36"/>
        <v>15300000</v>
      </c>
      <c r="J65" s="187"/>
      <c r="K65" s="195">
        <f>SUM(K66:K71)/6</f>
        <v>14.444444444444443</v>
      </c>
      <c r="L65" s="195">
        <f t="shared" si="36"/>
        <v>3.5331351850115351</v>
      </c>
      <c r="M65" s="185">
        <f t="shared" si="36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7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0" si="38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7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8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7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8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7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8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7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8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7"/>
        <v>1.633396870979928</v>
      </c>
      <c r="I71" s="115">
        <v>0</v>
      </c>
      <c r="J71" s="168">
        <f t="shared" si="7"/>
        <v>0</v>
      </c>
      <c r="K71" s="178">
        <f t="shared" ref="K71" si="39">Q71/E71*100</f>
        <v>16.666666666666664</v>
      </c>
      <c r="L71" s="207">
        <f t="shared" ref="L71" si="40">K71*H71/100</f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42" t="s">
        <v>142</v>
      </c>
      <c r="C73" s="343"/>
      <c r="D73" s="344"/>
      <c r="E73" s="197">
        <f t="shared" ref="E73:N73" si="41">E74</f>
        <v>57479800</v>
      </c>
      <c r="F73" s="184">
        <f t="shared" si="41"/>
        <v>0</v>
      </c>
      <c r="G73" s="184">
        <f t="shared" si="41"/>
        <v>0</v>
      </c>
      <c r="H73" s="185">
        <f t="shared" si="41"/>
        <v>2.7364420129569238</v>
      </c>
      <c r="I73" s="197">
        <f t="shared" si="41"/>
        <v>0</v>
      </c>
      <c r="J73" s="187">
        <f t="shared" si="7"/>
        <v>0</v>
      </c>
      <c r="K73" s="195">
        <f t="shared" si="41"/>
        <v>16.666666666666664</v>
      </c>
      <c r="L73" s="195">
        <f t="shared" si="41"/>
        <v>0.45607366882615386</v>
      </c>
      <c r="M73" s="184">
        <f t="shared" si="41"/>
        <v>57479800</v>
      </c>
      <c r="N73" s="184">
        <f t="shared" si="41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42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42" t="s">
        <v>166</v>
      </c>
      <c r="C76" s="343"/>
      <c r="D76" s="344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43">H77</f>
        <v>1.6769572946740881</v>
      </c>
      <c r="I76" s="197">
        <f t="shared" si="43"/>
        <v>0</v>
      </c>
      <c r="J76" s="187">
        <f t="shared" si="7"/>
        <v>0</v>
      </c>
      <c r="K76" s="195">
        <f t="shared" si="43"/>
        <v>0</v>
      </c>
      <c r="L76" s="195">
        <f t="shared" si="43"/>
        <v>0</v>
      </c>
      <c r="M76" s="184">
        <f t="shared" si="43"/>
        <v>35225000</v>
      </c>
      <c r="N76" s="184">
        <f>SUM(N77:N84)</f>
        <v>0</v>
      </c>
      <c r="O76" s="118"/>
      <c r="P76" s="88">
        <f t="shared" ref="P76:P123" si="44">E76/12</f>
        <v>2935416.6666666665</v>
      </c>
      <c r="Q76" s="88">
        <f t="shared" ref="Q76:Q123" si="45">P76*2</f>
        <v>5870833.333333333</v>
      </c>
      <c r="R76" s="88">
        <f t="shared" ref="R76:R92" si="46">P76*3</f>
        <v>8806250</v>
      </c>
      <c r="S76" s="88">
        <f t="shared" ref="S76:S92" si="47">P76*4</f>
        <v>11741666.666666666</v>
      </c>
      <c r="T76" s="88">
        <f t="shared" ref="T76:T92" si="48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9">I77/$E$86*100</f>
        <v>0</v>
      </c>
      <c r="K77" s="178">
        <v>0</v>
      </c>
      <c r="L77" s="207">
        <f t="shared" ref="L77:L80" si="50">K77*H77/100</f>
        <v>0</v>
      </c>
      <c r="M77" s="116">
        <f t="shared" ref="M77:M83" si="51">E77-I77</f>
        <v>35225000</v>
      </c>
      <c r="N77" s="114"/>
      <c r="O77" s="118"/>
      <c r="P77" s="88">
        <f t="shared" si="44"/>
        <v>2935416.6666666665</v>
      </c>
      <c r="Q77" s="88">
        <f t="shared" si="45"/>
        <v>5870833.333333333</v>
      </c>
      <c r="R77" s="88">
        <f t="shared" si="46"/>
        <v>8806250</v>
      </c>
      <c r="S77" s="88">
        <f t="shared" si="47"/>
        <v>11741666.666666666</v>
      </c>
      <c r="T77" s="88">
        <f t="shared" si="48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9"/>
        <v>0</v>
      </c>
      <c r="K78" s="178"/>
      <c r="L78" s="207"/>
      <c r="M78" s="116">
        <f t="shared" si="51"/>
        <v>0</v>
      </c>
      <c r="N78" s="114"/>
      <c r="O78" s="118"/>
      <c r="P78" s="88">
        <f t="shared" si="44"/>
        <v>0</v>
      </c>
      <c r="Q78" s="88">
        <f t="shared" si="45"/>
        <v>0</v>
      </c>
      <c r="R78" s="88">
        <f t="shared" si="46"/>
        <v>0</v>
      </c>
      <c r="S78" s="88">
        <f t="shared" si="47"/>
        <v>0</v>
      </c>
      <c r="T78" s="88">
        <f t="shared" si="48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52">H80</f>
        <v>1.2377825312001784</v>
      </c>
      <c r="I79" s="195">
        <f t="shared" si="52"/>
        <v>0</v>
      </c>
      <c r="J79" s="187">
        <f t="shared" si="49"/>
        <v>0</v>
      </c>
      <c r="K79" s="195">
        <f t="shared" si="52"/>
        <v>0</v>
      </c>
      <c r="L79" s="195">
        <f t="shared" si="52"/>
        <v>0</v>
      </c>
      <c r="M79" s="185">
        <f t="shared" si="52"/>
        <v>26000000</v>
      </c>
      <c r="N79" s="185">
        <f t="shared" si="52"/>
        <v>0</v>
      </c>
      <c r="O79" s="118"/>
      <c r="P79" s="88">
        <f t="shared" si="44"/>
        <v>2166666.6666666665</v>
      </c>
      <c r="Q79" s="88">
        <f t="shared" si="45"/>
        <v>4333333.333333333</v>
      </c>
      <c r="R79" s="88">
        <f t="shared" si="46"/>
        <v>6500000</v>
      </c>
      <c r="S79" s="88">
        <f t="shared" si="47"/>
        <v>8666666.666666666</v>
      </c>
      <c r="T79" s="88">
        <f t="shared" si="48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9"/>
        <v>0</v>
      </c>
      <c r="K80" s="178">
        <v>0</v>
      </c>
      <c r="L80" s="207">
        <f t="shared" si="50"/>
        <v>0</v>
      </c>
      <c r="M80" s="116">
        <f t="shared" si="51"/>
        <v>26000000</v>
      </c>
      <c r="N80" s="114"/>
      <c r="O80" s="118"/>
      <c r="P80" s="88">
        <f t="shared" si="44"/>
        <v>2166666.6666666665</v>
      </c>
      <c r="Q80" s="88">
        <f t="shared" si="45"/>
        <v>4333333.333333333</v>
      </c>
      <c r="R80" s="88">
        <f t="shared" si="46"/>
        <v>6500000</v>
      </c>
      <c r="S80" s="88">
        <f t="shared" si="47"/>
        <v>8666666.666666666</v>
      </c>
      <c r="T80" s="88">
        <f t="shared" si="48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9"/>
        <v>0</v>
      </c>
      <c r="K81" s="178"/>
      <c r="L81" s="207"/>
      <c r="M81" s="116">
        <f t="shared" si="51"/>
        <v>0</v>
      </c>
      <c r="N81" s="114"/>
      <c r="O81" s="118"/>
      <c r="P81" s="88">
        <f t="shared" si="44"/>
        <v>0</v>
      </c>
      <c r="Q81" s="88">
        <f t="shared" si="45"/>
        <v>0</v>
      </c>
      <c r="R81" s="88">
        <f t="shared" si="46"/>
        <v>0</v>
      </c>
      <c r="S81" s="88">
        <f t="shared" si="47"/>
        <v>0</v>
      </c>
      <c r="T81" s="88">
        <f t="shared" si="48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53">H83</f>
        <v>1.1202030929964111</v>
      </c>
      <c r="I82" s="195">
        <f t="shared" si="53"/>
        <v>0</v>
      </c>
      <c r="J82" s="187">
        <f t="shared" si="49"/>
        <v>0</v>
      </c>
      <c r="K82" s="195">
        <f t="shared" si="53"/>
        <v>15</v>
      </c>
      <c r="L82" s="195">
        <f t="shared" si="53"/>
        <v>0.16803046394946164</v>
      </c>
      <c r="M82" s="185">
        <f t="shared" si="53"/>
        <v>23530208</v>
      </c>
      <c r="N82" s="188"/>
      <c r="O82" s="118"/>
      <c r="P82" s="88">
        <f t="shared" si="44"/>
        <v>1960850.6666666667</v>
      </c>
      <c r="Q82" s="88">
        <f t="shared" si="45"/>
        <v>3921701.3333333335</v>
      </c>
      <c r="R82" s="88">
        <f t="shared" si="46"/>
        <v>5882552</v>
      </c>
      <c r="S82" s="88">
        <f t="shared" si="47"/>
        <v>7843402.666666667</v>
      </c>
      <c r="T82" s="88">
        <f t="shared" si="48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9"/>
        <v>0</v>
      </c>
      <c r="K83" s="178">
        <v>15</v>
      </c>
      <c r="L83" s="207">
        <f>K83*H83/100</f>
        <v>0.16803046394946164</v>
      </c>
      <c r="M83" s="116">
        <f t="shared" si="51"/>
        <v>23530208</v>
      </c>
      <c r="N83" s="114"/>
      <c r="O83" s="118"/>
      <c r="P83" s="88">
        <f t="shared" si="44"/>
        <v>1960850.6666666667</v>
      </c>
      <c r="Q83" s="88">
        <f t="shared" si="45"/>
        <v>3921701.3333333335</v>
      </c>
      <c r="R83" s="88">
        <f t="shared" si="46"/>
        <v>5882552</v>
      </c>
      <c r="S83" s="88">
        <f t="shared" si="47"/>
        <v>7843402.666666667</v>
      </c>
      <c r="T83" s="88">
        <f t="shared" si="48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44"/>
        <v>0</v>
      </c>
      <c r="Q84" s="88">
        <f t="shared" si="45"/>
        <v>0</v>
      </c>
      <c r="R84" s="88">
        <f t="shared" si="46"/>
        <v>0</v>
      </c>
      <c r="S84" s="88">
        <f t="shared" si="47"/>
        <v>0</v>
      </c>
      <c r="T84" s="88">
        <f t="shared" si="48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44"/>
        <v>0</v>
      </c>
      <c r="Q85" s="88">
        <f t="shared" si="45"/>
        <v>0</v>
      </c>
      <c r="R85" s="88">
        <f t="shared" si="46"/>
        <v>0</v>
      </c>
      <c r="S85" s="88">
        <f t="shared" si="47"/>
        <v>0</v>
      </c>
      <c r="T85" s="88">
        <f t="shared" si="48"/>
        <v>0</v>
      </c>
    </row>
    <row r="86" spans="1:20" ht="15.5" x14ac:dyDescent="0.35">
      <c r="A86" s="336" t="s">
        <v>145</v>
      </c>
      <c r="B86" s="337"/>
      <c r="C86" s="337"/>
      <c r="D86" s="338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44"/>
        <v>175044211.08333334</v>
      </c>
      <c r="Q86" s="88">
        <f t="shared" si="45"/>
        <v>350088422.16666669</v>
      </c>
      <c r="R86" s="88">
        <f t="shared" si="46"/>
        <v>525132633.25</v>
      </c>
      <c r="S86" s="88">
        <f t="shared" si="47"/>
        <v>700176844.33333337</v>
      </c>
      <c r="T86" s="88">
        <f t="shared" si="48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44"/>
        <v>0</v>
      </c>
      <c r="Q87" s="88">
        <f t="shared" si="45"/>
        <v>0</v>
      </c>
      <c r="R87" s="88">
        <f t="shared" si="46"/>
        <v>0</v>
      </c>
      <c r="S87" s="88">
        <f t="shared" si="47"/>
        <v>0</v>
      </c>
      <c r="T87" s="88">
        <f t="shared" si="48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339" t="s">
        <v>188</v>
      </c>
      <c r="K88" s="339"/>
      <c r="L88" s="339"/>
      <c r="M88" s="154"/>
      <c r="N88" s="155"/>
      <c r="O88" s="106"/>
      <c r="P88" s="88">
        <f t="shared" si="44"/>
        <v>644897173.08916664</v>
      </c>
      <c r="Q88" s="88">
        <f t="shared" si="45"/>
        <v>1289794346.1783333</v>
      </c>
      <c r="R88" s="88">
        <f t="shared" si="46"/>
        <v>1934691519.2674999</v>
      </c>
      <c r="S88" s="88">
        <f t="shared" si="47"/>
        <v>2579588692.3566666</v>
      </c>
      <c r="T88" s="88">
        <f t="shared" si="48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339" t="s">
        <v>177</v>
      </c>
      <c r="K89" s="339"/>
      <c r="L89" s="339"/>
      <c r="M89" s="154"/>
      <c r="N89" s="155"/>
      <c r="O89" s="106"/>
      <c r="P89" s="88">
        <f t="shared" si="44"/>
        <v>0</v>
      </c>
      <c r="Q89" s="88">
        <f t="shared" si="45"/>
        <v>0</v>
      </c>
      <c r="R89" s="88">
        <f t="shared" si="46"/>
        <v>0</v>
      </c>
      <c r="S89" s="88">
        <f t="shared" si="47"/>
        <v>0</v>
      </c>
      <c r="T89" s="88">
        <f t="shared" si="48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213"/>
      <c r="K90" s="213"/>
      <c r="L90" s="213"/>
      <c r="M90" s="154"/>
      <c r="N90" s="155"/>
      <c r="O90" s="106"/>
      <c r="P90" s="88">
        <f t="shared" si="44"/>
        <v>0</v>
      </c>
      <c r="Q90" s="88">
        <f t="shared" si="45"/>
        <v>0</v>
      </c>
      <c r="R90" s="88">
        <f t="shared" si="46"/>
        <v>0</v>
      </c>
      <c r="S90" s="88">
        <f t="shared" si="47"/>
        <v>0</v>
      </c>
      <c r="T90" s="88">
        <f t="shared" si="48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213"/>
      <c r="K91" s="213"/>
      <c r="L91" s="213"/>
      <c r="M91" s="154"/>
      <c r="N91" s="155"/>
      <c r="O91" s="106"/>
      <c r="P91" s="88">
        <f t="shared" si="44"/>
        <v>0</v>
      </c>
      <c r="Q91" s="88">
        <f t="shared" si="45"/>
        <v>0</v>
      </c>
      <c r="R91" s="88">
        <f t="shared" si="46"/>
        <v>0</v>
      </c>
      <c r="S91" s="88">
        <f t="shared" si="47"/>
        <v>0</v>
      </c>
      <c r="T91" s="88">
        <f t="shared" si="48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214"/>
      <c r="K92" s="213"/>
      <c r="L92" s="214"/>
      <c r="M92" s="154"/>
      <c r="N92" s="155"/>
      <c r="O92" s="106"/>
      <c r="P92" s="88">
        <f t="shared" si="44"/>
        <v>0</v>
      </c>
      <c r="Q92" s="88">
        <f t="shared" si="45"/>
        <v>0</v>
      </c>
      <c r="R92" s="88">
        <f t="shared" si="46"/>
        <v>0</v>
      </c>
      <c r="S92" s="88">
        <f t="shared" si="47"/>
        <v>0</v>
      </c>
      <c r="T92" s="88">
        <f t="shared" si="48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340" t="s">
        <v>178</v>
      </c>
      <c r="K93" s="340"/>
      <c r="L93" s="340"/>
      <c r="M93" s="154"/>
      <c r="N93" s="155"/>
      <c r="O93" s="106"/>
      <c r="P93" s="88">
        <f t="shared" si="44"/>
        <v>0</v>
      </c>
      <c r="Q93" s="88">
        <f t="shared" si="45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341" t="s">
        <v>179</v>
      </c>
      <c r="K94" s="341"/>
      <c r="L94" s="341"/>
      <c r="M94" s="162"/>
      <c r="N94" s="163"/>
      <c r="O94" s="106"/>
      <c r="P94" s="88">
        <f t="shared" si="44"/>
        <v>0</v>
      </c>
      <c r="Q94" s="88">
        <f t="shared" si="45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44"/>
        <v>0</v>
      </c>
      <c r="Q95" s="88">
        <f t="shared" si="45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44"/>
        <v>0</v>
      </c>
      <c r="Q96" s="88">
        <f t="shared" si="45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44"/>
        <v>0</v>
      </c>
      <c r="Q97" s="88">
        <f t="shared" si="45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44"/>
        <v>0</v>
      </c>
      <c r="Q98" s="88">
        <f t="shared" si="45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44"/>
        <v>0</v>
      </c>
      <c r="Q99" s="88">
        <f t="shared" si="45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44"/>
        <v>0</v>
      </c>
      <c r="Q100" s="88">
        <f t="shared" si="45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44"/>
        <v>0</v>
      </c>
      <c r="Q101" s="88">
        <f t="shared" si="45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44"/>
        <v>0</v>
      </c>
      <c r="Q102" s="88">
        <f t="shared" si="45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44"/>
        <v>0</v>
      </c>
      <c r="Q103" s="88">
        <f t="shared" si="45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44"/>
        <v>0</v>
      </c>
      <c r="Q104" s="88">
        <f t="shared" si="45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44"/>
        <v>16305000</v>
      </c>
      <c r="Q105" s="88">
        <f t="shared" si="45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44"/>
        <v>128333.33333333333</v>
      </c>
      <c r="Q106" s="88">
        <f t="shared" si="45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44"/>
        <v>1666666.6666666667</v>
      </c>
      <c r="Q107" s="88">
        <f t="shared" si="45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44"/>
        <v>5833333.333333333</v>
      </c>
      <c r="Q108" s="88">
        <f t="shared" si="45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44"/>
        <v>20650114.583333332</v>
      </c>
      <c r="Q109" s="88">
        <f t="shared" si="45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44"/>
        <v>286616.66666666669</v>
      </c>
      <c r="Q110" s="88">
        <f t="shared" si="45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44"/>
        <v>2083333.3333333333</v>
      </c>
      <c r="Q111" s="88">
        <f t="shared" si="45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44"/>
        <v>1125000</v>
      </c>
      <c r="Q112" s="88">
        <f t="shared" si="45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44"/>
        <v>333333.33333333331</v>
      </c>
      <c r="Q113" s="88">
        <f t="shared" si="45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44"/>
        <v>2050000</v>
      </c>
      <c r="Q114" s="88">
        <f t="shared" si="45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44"/>
        <v>225000</v>
      </c>
      <c r="Q115" s="88">
        <f t="shared" si="45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44"/>
        <v>0</v>
      </c>
      <c r="Q116" s="88">
        <f t="shared" si="45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44"/>
        <v>6807500</v>
      </c>
      <c r="Q117" s="88">
        <f t="shared" si="45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44"/>
        <v>4343866.666666667</v>
      </c>
      <c r="Q118" s="88">
        <f t="shared" si="45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44"/>
        <v>2429833.3333333335</v>
      </c>
      <c r="Q119" s="88">
        <f t="shared" si="45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44"/>
        <v>985416.66666666663</v>
      </c>
      <c r="Q120" s="88">
        <f t="shared" si="45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44"/>
        <v>337500</v>
      </c>
      <c r="Q121" s="88">
        <f t="shared" si="45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44"/>
        <v>600000</v>
      </c>
      <c r="Q122" s="88">
        <f t="shared" si="45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44"/>
        <v>0</v>
      </c>
      <c r="Q123" s="88">
        <f t="shared" si="45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49:D49"/>
    <mergeCell ref="B12:D12"/>
    <mergeCell ref="H6:H8"/>
    <mergeCell ref="I6:L6"/>
    <mergeCell ref="M6:M8"/>
    <mergeCell ref="B45:D45"/>
    <mergeCell ref="B15:D15"/>
    <mergeCell ref="B21:D21"/>
    <mergeCell ref="B23:D23"/>
    <mergeCell ref="B31:D31"/>
    <mergeCell ref="B32:D32"/>
    <mergeCell ref="B34:D34"/>
    <mergeCell ref="B37:D37"/>
    <mergeCell ref="B38:D38"/>
    <mergeCell ref="B39:D39"/>
    <mergeCell ref="A1:N1"/>
    <mergeCell ref="A2:N2"/>
    <mergeCell ref="A6:A8"/>
    <mergeCell ref="B6:D8"/>
    <mergeCell ref="E6:E8"/>
    <mergeCell ref="F6:F8"/>
    <mergeCell ref="G6:G8"/>
    <mergeCell ref="N6:N8"/>
    <mergeCell ref="I7:J7"/>
    <mergeCell ref="K7:L7"/>
    <mergeCell ref="B76:D76"/>
    <mergeCell ref="B56:D56"/>
    <mergeCell ref="B59:D59"/>
    <mergeCell ref="B62:D62"/>
    <mergeCell ref="B63:D63"/>
    <mergeCell ref="B65:D65"/>
    <mergeCell ref="B73:D73"/>
    <mergeCell ref="B60:D60"/>
    <mergeCell ref="A86:D86"/>
    <mergeCell ref="J88:L88"/>
    <mergeCell ref="J89:L89"/>
    <mergeCell ref="J93:L93"/>
    <mergeCell ref="J94:L9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4"/>
  <sheetViews>
    <sheetView view="pageBreakPreview" topLeftCell="B13" zoomScale="84" zoomScaleNormal="75" zoomScaleSheetLayoutView="84" workbookViewId="0">
      <selection activeCell="H22" sqref="H22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48" t="s">
        <v>148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50"/>
      <c r="O1" s="87"/>
      <c r="P1" s="88">
        <v>1</v>
      </c>
      <c r="Q1" s="88" t="s">
        <v>183</v>
      </c>
    </row>
    <row r="2" spans="1:20" ht="33.5" x14ac:dyDescent="0.85">
      <c r="A2" s="351" t="s">
        <v>155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54" t="s">
        <v>4</v>
      </c>
      <c r="B6" s="357" t="s">
        <v>5</v>
      </c>
      <c r="C6" s="357"/>
      <c r="D6" s="358"/>
      <c r="E6" s="363" t="s">
        <v>6</v>
      </c>
      <c r="F6" s="366" t="s">
        <v>7</v>
      </c>
      <c r="G6" s="366" t="s">
        <v>158</v>
      </c>
      <c r="H6" s="366" t="s">
        <v>9</v>
      </c>
      <c r="I6" s="369" t="s">
        <v>10</v>
      </c>
      <c r="J6" s="369"/>
      <c r="K6" s="369"/>
      <c r="L6" s="369"/>
      <c r="M6" s="366" t="s">
        <v>11</v>
      </c>
      <c r="N6" s="354" t="s">
        <v>12</v>
      </c>
      <c r="O6" s="98"/>
    </row>
    <row r="7" spans="1:20" ht="15.5" x14ac:dyDescent="0.35">
      <c r="A7" s="355"/>
      <c r="B7" s="359"/>
      <c r="C7" s="359"/>
      <c r="D7" s="360"/>
      <c r="E7" s="364"/>
      <c r="F7" s="367"/>
      <c r="G7" s="367"/>
      <c r="H7" s="367"/>
      <c r="I7" s="369" t="s">
        <v>13</v>
      </c>
      <c r="J7" s="369"/>
      <c r="K7" s="370" t="s">
        <v>14</v>
      </c>
      <c r="L7" s="370"/>
      <c r="M7" s="367"/>
      <c r="N7" s="355"/>
      <c r="O7" s="98"/>
    </row>
    <row r="8" spans="1:20" ht="15.5" x14ac:dyDescent="0.35">
      <c r="A8" s="356"/>
      <c r="B8" s="361"/>
      <c r="C8" s="361"/>
      <c r="D8" s="362"/>
      <c r="E8" s="365"/>
      <c r="F8" s="368"/>
      <c r="G8" s="368"/>
      <c r="H8" s="368"/>
      <c r="I8" s="99" t="s">
        <v>15</v>
      </c>
      <c r="J8" s="99" t="s">
        <v>16</v>
      </c>
      <c r="K8" s="99" t="s">
        <v>16</v>
      </c>
      <c r="L8" s="100" t="s">
        <v>17</v>
      </c>
      <c r="M8" s="368"/>
      <c r="N8" s="35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12.340742543392254</v>
      </c>
      <c r="L10" s="195">
        <f>SUM(L11:L21)</f>
        <v>3.0480819233135676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R11/E11*100</f>
        <v>25</v>
      </c>
      <c r="L11" s="207">
        <f>K11*H11/100</f>
        <v>2.3286974043714128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45" t="s">
        <v>24</v>
      </c>
      <c r="C12" s="346"/>
      <c r="D12" s="347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 t="shared" ref="K14:K15" si="8">R14/E14*100</f>
        <v>25</v>
      </c>
      <c r="L14" s="207">
        <f t="shared" ref="L14:L43" si="9">K14*H14/100</f>
        <v>4.093489651740282E-2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45" t="s">
        <v>30</v>
      </c>
      <c r="C15" s="346"/>
      <c r="D15" s="347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 t="shared" si="8"/>
        <v>25</v>
      </c>
      <c r="L15" s="207">
        <f t="shared" si="9"/>
        <v>3.2134738790773866E-2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9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9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10">R19/E19*100</f>
        <v>25</v>
      </c>
      <c r="L19" s="207">
        <f t="shared" si="9"/>
        <v>0.29754387769235058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10"/>
        <v>25</v>
      </c>
      <c r="L20" s="207">
        <f t="shared" si="9"/>
        <v>0.16067369395386932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45" t="s">
        <v>42</v>
      </c>
      <c r="C21" s="346"/>
      <c r="D21" s="347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9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42" t="s">
        <v>44</v>
      </c>
      <c r="C23" s="343"/>
      <c r="D23" s="344"/>
      <c r="E23" s="197">
        <f>SUM(E24:E29)</f>
        <v>186049400</v>
      </c>
      <c r="F23" s="184">
        <v>0</v>
      </c>
      <c r="G23" s="184">
        <v>0</v>
      </c>
      <c r="H23" s="185">
        <f t="shared" ref="H23:I23" si="11">SUM(H24:H29)</f>
        <v>8.8572575869336347</v>
      </c>
      <c r="I23" s="195">
        <f t="shared" si="11"/>
        <v>3400000</v>
      </c>
      <c r="J23" s="187"/>
      <c r="K23" s="195">
        <f>SUM(K24:K29)/6</f>
        <v>15.5</v>
      </c>
      <c r="L23" s="195">
        <f>SUM(L24:L29)</f>
        <v>1.0032036987295723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2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9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2"/>
        <v>2.481582589782807</v>
      </c>
      <c r="I25" s="115">
        <v>3400000</v>
      </c>
      <c r="J25" s="168">
        <f t="shared" si="7"/>
        <v>0.16186386946463871</v>
      </c>
      <c r="K25" s="178">
        <f>R25/E25*100</f>
        <v>25</v>
      </c>
      <c r="L25" s="207">
        <f t="shared" si="9"/>
        <v>0.62039564744570175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2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9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2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9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2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9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2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9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42" t="s">
        <v>60</v>
      </c>
      <c r="C31" s="343"/>
      <c r="D31" s="344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45" t="s">
        <v>62</v>
      </c>
      <c r="C32" s="346"/>
      <c r="D32" s="347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9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42" t="s">
        <v>64</v>
      </c>
      <c r="C34" s="343"/>
      <c r="D34" s="344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25</v>
      </c>
      <c r="L34" s="195">
        <f t="shared" si="14"/>
        <v>1.4964552767108004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R35/E35*100</f>
        <v>25</v>
      </c>
      <c r="L35" s="207">
        <f t="shared" si="9"/>
        <v>1.4964552767108004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42" t="s">
        <v>70</v>
      </c>
      <c r="C37" s="343"/>
      <c r="D37" s="344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12.5</v>
      </c>
      <c r="L37" s="195">
        <f t="shared" si="15"/>
        <v>3.034947552461976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45" t="s">
        <v>72</v>
      </c>
      <c r="C38" s="346"/>
      <c r="D38" s="347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R38/E38*100</f>
        <v>25</v>
      </c>
      <c r="L38" s="207">
        <f t="shared" si="9"/>
        <v>3.034947552461976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45" t="s">
        <v>74</v>
      </c>
      <c r="C39" s="346"/>
      <c r="D39" s="347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9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9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9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42" t="s">
        <v>86</v>
      </c>
      <c r="C45" s="343"/>
      <c r="D45" s="344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19</v>
      </c>
      <c r="L45" s="195">
        <f t="shared" si="19"/>
        <v>1.7298264380906287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>R48/E48*100</f>
        <v>25</v>
      </c>
      <c r="L48" s="207">
        <f>K48*H48/100</f>
        <v>0.30111440422465879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45" t="s">
        <v>94</v>
      </c>
      <c r="C49" s="346"/>
      <c r="D49" s="347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>R50/E50*100</f>
        <v>25</v>
      </c>
      <c r="L50" s="207">
        <f>K50*H50/100</f>
        <v>0.82783847827076551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1">SUM(H53:H54)</f>
        <v>0.95214040861552185</v>
      </c>
      <c r="I52" s="195">
        <f t="shared" si="21"/>
        <v>0</v>
      </c>
      <c r="J52" s="187">
        <f t="shared" si="7"/>
        <v>0</v>
      </c>
      <c r="K52" s="195">
        <f>SUM(K53:K54)/2</f>
        <v>0</v>
      </c>
      <c r="L52" s="195">
        <f t="shared" si="21"/>
        <v>0</v>
      </c>
      <c r="M52" s="185">
        <f t="shared" si="21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2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2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42" t="s">
        <v>104</v>
      </c>
      <c r="C56" s="343"/>
      <c r="D56" s="344"/>
      <c r="E56" s="199">
        <f t="shared" ref="E56:N56" si="23">SUM(E57)</f>
        <v>61200000</v>
      </c>
      <c r="F56" s="192">
        <f t="shared" si="23"/>
        <v>0</v>
      </c>
      <c r="G56" s="192">
        <f t="shared" si="23"/>
        <v>0</v>
      </c>
      <c r="H56" s="193">
        <f t="shared" si="23"/>
        <v>2.913549650363497</v>
      </c>
      <c r="I56" s="205">
        <f t="shared" si="23"/>
        <v>1800000</v>
      </c>
      <c r="J56" s="187"/>
      <c r="K56" s="205">
        <f t="shared" si="23"/>
        <v>8.5692636775396971E-2</v>
      </c>
      <c r="L56" s="205">
        <f t="shared" si="23"/>
        <v>2.4966975191568399E-3</v>
      </c>
      <c r="M56" s="193">
        <f t="shared" si="23"/>
        <v>59400000</v>
      </c>
      <c r="N56" s="192">
        <f t="shared" si="23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4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42" t="s">
        <v>116</v>
      </c>
      <c r="C59" s="343"/>
      <c r="D59" s="344"/>
      <c r="E59" s="197">
        <f t="shared" ref="E59:N59" si="25">E60</f>
        <v>151914500</v>
      </c>
      <c r="F59" s="184">
        <f t="shared" si="25"/>
        <v>0</v>
      </c>
      <c r="G59" s="184">
        <f t="shared" si="25"/>
        <v>0</v>
      </c>
      <c r="H59" s="185">
        <f t="shared" si="25"/>
        <v>7.2321967052311349</v>
      </c>
      <c r="I59" s="195">
        <f t="shared" si="25"/>
        <v>0</v>
      </c>
      <c r="J59" s="187">
        <f t="shared" si="7"/>
        <v>0</v>
      </c>
      <c r="K59" s="195">
        <f t="shared" si="25"/>
        <v>25</v>
      </c>
      <c r="L59" s="195">
        <f t="shared" si="25"/>
        <v>1.8080491763077837</v>
      </c>
      <c r="M59" s="185">
        <f t="shared" si="25"/>
        <v>151914500</v>
      </c>
      <c r="N59" s="184">
        <f t="shared" si="25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45" t="s">
        <v>118</v>
      </c>
      <c r="C60" s="346"/>
      <c r="D60" s="347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R60/E60*100</f>
        <v>25</v>
      </c>
      <c r="L60" s="207">
        <f t="shared" ref="L60" si="26">K60*H60/100</f>
        <v>1.8080491763077837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42" t="s">
        <v>124</v>
      </c>
      <c r="C62" s="343"/>
      <c r="D62" s="344"/>
      <c r="E62" s="197">
        <f t="shared" ref="E62:N62" si="27">E63</f>
        <v>5671000</v>
      </c>
      <c r="F62" s="184">
        <f t="shared" si="27"/>
        <v>0</v>
      </c>
      <c r="G62" s="184">
        <f t="shared" si="27"/>
        <v>0</v>
      </c>
      <c r="H62" s="185">
        <f t="shared" si="27"/>
        <v>0.2699794128629312</v>
      </c>
      <c r="I62" s="195">
        <f t="shared" si="27"/>
        <v>0</v>
      </c>
      <c r="J62" s="187">
        <f t="shared" si="7"/>
        <v>0</v>
      </c>
      <c r="K62" s="195">
        <f t="shared" si="27"/>
        <v>0</v>
      </c>
      <c r="L62" s="195">
        <f t="shared" si="27"/>
        <v>0</v>
      </c>
      <c r="M62" s="185">
        <f t="shared" si="27"/>
        <v>5671000</v>
      </c>
      <c r="N62" s="184">
        <f t="shared" si="27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45" t="s">
        <v>126</v>
      </c>
      <c r="C63" s="346"/>
      <c r="D63" s="347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8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42" t="s">
        <v>128</v>
      </c>
      <c r="C65" s="343"/>
      <c r="D65" s="344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29">SUM(H66:H71)</f>
        <v>13.205949432395135</v>
      </c>
      <c r="I65" s="195">
        <f t="shared" si="29"/>
        <v>15300000</v>
      </c>
      <c r="J65" s="187"/>
      <c r="K65" s="195">
        <f>SUM(K66:K71)/6</f>
        <v>15.833333333333334</v>
      </c>
      <c r="L65" s="195">
        <f t="shared" si="29"/>
        <v>3.6692515909265291</v>
      </c>
      <c r="M65" s="185">
        <f t="shared" si="29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0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1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0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1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0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1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0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1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0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1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0"/>
        <v>1.633396870979928</v>
      </c>
      <c r="I71" s="115">
        <v>0</v>
      </c>
      <c r="J71" s="168">
        <f t="shared" si="7"/>
        <v>0</v>
      </c>
      <c r="K71" s="178">
        <f>R71/E71*100</f>
        <v>25</v>
      </c>
      <c r="L71" s="207">
        <f t="shared" si="31"/>
        <v>0.40834921774498201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42" t="s">
        <v>142</v>
      </c>
      <c r="C73" s="343"/>
      <c r="D73" s="344"/>
      <c r="E73" s="197">
        <f t="shared" ref="E73:N73" si="32">E74</f>
        <v>57479800</v>
      </c>
      <c r="F73" s="184">
        <f t="shared" si="32"/>
        <v>0</v>
      </c>
      <c r="G73" s="184">
        <f t="shared" si="32"/>
        <v>0</v>
      </c>
      <c r="H73" s="185">
        <f t="shared" si="32"/>
        <v>2.7364420129569238</v>
      </c>
      <c r="I73" s="197">
        <f t="shared" si="32"/>
        <v>0</v>
      </c>
      <c r="J73" s="187">
        <f t="shared" si="7"/>
        <v>0</v>
      </c>
      <c r="K73" s="195">
        <f t="shared" si="32"/>
        <v>25</v>
      </c>
      <c r="L73" s="195">
        <f t="shared" si="32"/>
        <v>0.68411050323923095</v>
      </c>
      <c r="M73" s="184">
        <f t="shared" si="32"/>
        <v>57479800</v>
      </c>
      <c r="N73" s="184">
        <f t="shared" si="32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R74/E74*100</f>
        <v>25</v>
      </c>
      <c r="L74" s="209">
        <f t="shared" ref="L74" si="33">K74*H74/100</f>
        <v>0.68411050323923095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42" t="s">
        <v>166</v>
      </c>
      <c r="C76" s="343"/>
      <c r="D76" s="344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4">H77</f>
        <v>1.6769572946740881</v>
      </c>
      <c r="I76" s="197">
        <f t="shared" si="34"/>
        <v>0</v>
      </c>
      <c r="J76" s="187">
        <f t="shared" si="7"/>
        <v>0</v>
      </c>
      <c r="K76" s="195">
        <f t="shared" si="34"/>
        <v>0</v>
      </c>
      <c r="L76" s="195">
        <f t="shared" si="34"/>
        <v>0</v>
      </c>
      <c r="M76" s="184">
        <f t="shared" si="34"/>
        <v>35225000</v>
      </c>
      <c r="N76" s="184">
        <f>SUM(N77:N84)</f>
        <v>0</v>
      </c>
      <c r="O76" s="118"/>
      <c r="P76" s="88">
        <f t="shared" ref="P76:P123" si="35">E76/12</f>
        <v>2935416.6666666665</v>
      </c>
      <c r="Q76" s="88">
        <f t="shared" ref="Q76:Q123" si="36">P76*2</f>
        <v>5870833.333333333</v>
      </c>
      <c r="R76" s="88">
        <f t="shared" ref="R76:R92" si="37">P76*3</f>
        <v>8806250</v>
      </c>
      <c r="S76" s="88">
        <f t="shared" ref="S76:S92" si="38">P76*4</f>
        <v>11741666.666666666</v>
      </c>
      <c r="T76" s="88">
        <f t="shared" ref="T76:T92" si="39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0">I77/$E$86*100</f>
        <v>0</v>
      </c>
      <c r="K77" s="178">
        <v>0</v>
      </c>
      <c r="L77" s="207">
        <f t="shared" ref="L77:L80" si="41">K77*H77/100</f>
        <v>0</v>
      </c>
      <c r="M77" s="116">
        <f t="shared" ref="M77:M83" si="42">E77-I77</f>
        <v>35225000</v>
      </c>
      <c r="N77" s="114"/>
      <c r="O77" s="118"/>
      <c r="P77" s="88">
        <f t="shared" si="35"/>
        <v>2935416.6666666665</v>
      </c>
      <c r="Q77" s="88">
        <f t="shared" si="36"/>
        <v>5870833.333333333</v>
      </c>
      <c r="R77" s="88">
        <f t="shared" si="37"/>
        <v>8806250</v>
      </c>
      <c r="S77" s="88">
        <f t="shared" si="38"/>
        <v>11741666.666666666</v>
      </c>
      <c r="T77" s="88">
        <f t="shared" si="39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0"/>
        <v>0</v>
      </c>
      <c r="K78" s="178"/>
      <c r="L78" s="207"/>
      <c r="M78" s="116">
        <f t="shared" si="42"/>
        <v>0</v>
      </c>
      <c r="N78" s="114"/>
      <c r="O78" s="118"/>
      <c r="P78" s="88">
        <f t="shared" si="35"/>
        <v>0</v>
      </c>
      <c r="Q78" s="88">
        <f t="shared" si="36"/>
        <v>0</v>
      </c>
      <c r="R78" s="88">
        <f t="shared" si="37"/>
        <v>0</v>
      </c>
      <c r="S78" s="88">
        <f t="shared" si="38"/>
        <v>0</v>
      </c>
      <c r="T78" s="88">
        <f t="shared" si="39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3">H80</f>
        <v>1.2377825312001784</v>
      </c>
      <c r="I79" s="195">
        <f t="shared" si="43"/>
        <v>0</v>
      </c>
      <c r="J79" s="187">
        <f t="shared" si="40"/>
        <v>0</v>
      </c>
      <c r="K79" s="195">
        <f t="shared" si="43"/>
        <v>0</v>
      </c>
      <c r="L79" s="195">
        <f t="shared" si="43"/>
        <v>0</v>
      </c>
      <c r="M79" s="185">
        <f t="shared" si="43"/>
        <v>26000000</v>
      </c>
      <c r="N79" s="185">
        <f t="shared" si="43"/>
        <v>0</v>
      </c>
      <c r="O79" s="118"/>
      <c r="P79" s="88">
        <f t="shared" si="35"/>
        <v>2166666.6666666665</v>
      </c>
      <c r="Q79" s="88">
        <f t="shared" si="36"/>
        <v>4333333.333333333</v>
      </c>
      <c r="R79" s="88">
        <f t="shared" si="37"/>
        <v>6500000</v>
      </c>
      <c r="S79" s="88">
        <f t="shared" si="38"/>
        <v>8666666.666666666</v>
      </c>
      <c r="T79" s="88">
        <f t="shared" si="39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0"/>
        <v>0</v>
      </c>
      <c r="K80" s="178">
        <v>0</v>
      </c>
      <c r="L80" s="207">
        <f t="shared" si="41"/>
        <v>0</v>
      </c>
      <c r="M80" s="116">
        <f t="shared" si="42"/>
        <v>26000000</v>
      </c>
      <c r="N80" s="114"/>
      <c r="O80" s="118"/>
      <c r="P80" s="88">
        <f t="shared" si="35"/>
        <v>2166666.6666666665</v>
      </c>
      <c r="Q80" s="88">
        <f t="shared" si="36"/>
        <v>4333333.333333333</v>
      </c>
      <c r="R80" s="88">
        <f t="shared" si="37"/>
        <v>6500000</v>
      </c>
      <c r="S80" s="88">
        <f t="shared" si="38"/>
        <v>8666666.666666666</v>
      </c>
      <c r="T80" s="88">
        <f t="shared" si="39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0"/>
        <v>0</v>
      </c>
      <c r="K81" s="178"/>
      <c r="L81" s="207"/>
      <c r="M81" s="116">
        <f t="shared" si="42"/>
        <v>0</v>
      </c>
      <c r="N81" s="114"/>
      <c r="O81" s="118"/>
      <c r="P81" s="88">
        <f t="shared" si="35"/>
        <v>0</v>
      </c>
      <c r="Q81" s="88">
        <f t="shared" si="36"/>
        <v>0</v>
      </c>
      <c r="R81" s="88">
        <f t="shared" si="37"/>
        <v>0</v>
      </c>
      <c r="S81" s="88">
        <f t="shared" si="38"/>
        <v>0</v>
      </c>
      <c r="T81" s="88">
        <f t="shared" si="39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4">H83</f>
        <v>1.1202030929964111</v>
      </c>
      <c r="I82" s="195">
        <f t="shared" si="44"/>
        <v>0</v>
      </c>
      <c r="J82" s="187">
        <f t="shared" si="40"/>
        <v>0</v>
      </c>
      <c r="K82" s="195">
        <f t="shared" si="44"/>
        <v>15</v>
      </c>
      <c r="L82" s="195">
        <f t="shared" si="44"/>
        <v>0.16803046394946164</v>
      </c>
      <c r="M82" s="185">
        <f t="shared" si="44"/>
        <v>23530208</v>
      </c>
      <c r="N82" s="188"/>
      <c r="O82" s="118"/>
      <c r="P82" s="88">
        <f t="shared" si="35"/>
        <v>1960850.6666666667</v>
      </c>
      <c r="Q82" s="88">
        <f t="shared" si="36"/>
        <v>3921701.3333333335</v>
      </c>
      <c r="R82" s="88">
        <f t="shared" si="37"/>
        <v>5882552</v>
      </c>
      <c r="S82" s="88">
        <f t="shared" si="38"/>
        <v>7843402.666666667</v>
      </c>
      <c r="T82" s="88">
        <f t="shared" si="39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0"/>
        <v>0</v>
      </c>
      <c r="K83" s="178">
        <v>15</v>
      </c>
      <c r="L83" s="207">
        <f>K83*H83/100</f>
        <v>0.16803046394946164</v>
      </c>
      <c r="M83" s="116">
        <f t="shared" si="42"/>
        <v>23530208</v>
      </c>
      <c r="N83" s="114"/>
      <c r="O83" s="118"/>
      <c r="P83" s="88">
        <f t="shared" si="35"/>
        <v>1960850.6666666667</v>
      </c>
      <c r="Q83" s="88">
        <f t="shared" si="36"/>
        <v>3921701.3333333335</v>
      </c>
      <c r="R83" s="88">
        <f t="shared" si="37"/>
        <v>5882552</v>
      </c>
      <c r="S83" s="88">
        <f t="shared" si="38"/>
        <v>7843402.666666667</v>
      </c>
      <c r="T83" s="88">
        <f t="shared" si="39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5"/>
        <v>0</v>
      </c>
      <c r="Q84" s="88">
        <f t="shared" si="36"/>
        <v>0</v>
      </c>
      <c r="R84" s="88">
        <f t="shared" si="37"/>
        <v>0</v>
      </c>
      <c r="S84" s="88">
        <f t="shared" si="38"/>
        <v>0</v>
      </c>
      <c r="T84" s="88">
        <f t="shared" si="39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202.75976851350097</v>
      </c>
      <c r="L85" s="148"/>
      <c r="M85" s="146"/>
      <c r="N85" s="147"/>
      <c r="O85" s="118"/>
      <c r="P85" s="88">
        <f t="shared" si="35"/>
        <v>0</v>
      </c>
      <c r="Q85" s="88">
        <f t="shared" si="36"/>
        <v>0</v>
      </c>
      <c r="R85" s="88">
        <f t="shared" si="37"/>
        <v>0</v>
      </c>
      <c r="S85" s="88">
        <f t="shared" si="38"/>
        <v>0</v>
      </c>
      <c r="T85" s="88">
        <f t="shared" si="39"/>
        <v>0</v>
      </c>
    </row>
    <row r="86" spans="1:20" ht="15.5" x14ac:dyDescent="0.35">
      <c r="A86" s="336" t="s">
        <v>145</v>
      </c>
      <c r="B86" s="337"/>
      <c r="C86" s="337"/>
      <c r="D86" s="338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12.672485532093811</v>
      </c>
      <c r="L86" s="172">
        <f>L10+L23+L31+L34+L37+L41+L45+L52+L56+L59+L62+L65+L73+L76+L79+L82</f>
        <v>18.035113896807211</v>
      </c>
      <c r="M86" s="149">
        <f>M10+M23+M31+M34+M37+M41+M45+M52+M56+M59+M62+M65+M73+M76+M79+M82</f>
        <v>2032930533</v>
      </c>
      <c r="N86" s="149"/>
      <c r="O86" s="150"/>
      <c r="P86" s="88">
        <f t="shared" si="35"/>
        <v>175044211.08333334</v>
      </c>
      <c r="Q86" s="88">
        <f t="shared" si="36"/>
        <v>350088422.16666669</v>
      </c>
      <c r="R86" s="88">
        <f t="shared" si="37"/>
        <v>525132633.25</v>
      </c>
      <c r="S86" s="88">
        <f t="shared" si="38"/>
        <v>700176844.33333337</v>
      </c>
      <c r="T86" s="88">
        <f t="shared" si="39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5"/>
        <v>0</v>
      </c>
      <c r="Q87" s="88">
        <f t="shared" si="36"/>
        <v>0</v>
      </c>
      <c r="R87" s="88">
        <f t="shared" si="37"/>
        <v>0</v>
      </c>
      <c r="S87" s="88">
        <f t="shared" si="38"/>
        <v>0</v>
      </c>
      <c r="T87" s="88">
        <f t="shared" si="39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371" t="s">
        <v>176</v>
      </c>
      <c r="K88" s="371"/>
      <c r="L88" s="371"/>
      <c r="M88" s="154"/>
      <c r="N88" s="155"/>
      <c r="O88" s="106"/>
      <c r="P88" s="88">
        <f t="shared" si="35"/>
        <v>644897173.08916664</v>
      </c>
      <c r="Q88" s="88">
        <f t="shared" si="36"/>
        <v>1289794346.1783333</v>
      </c>
      <c r="R88" s="88">
        <f t="shared" si="37"/>
        <v>1934691519.2674999</v>
      </c>
      <c r="S88" s="88">
        <f t="shared" si="38"/>
        <v>2579588692.3566666</v>
      </c>
      <c r="T88" s="88">
        <f t="shared" si="39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371" t="s">
        <v>177</v>
      </c>
      <c r="K89" s="371"/>
      <c r="L89" s="371"/>
      <c r="M89" s="154"/>
      <c r="N89" s="155"/>
      <c r="O89" s="106"/>
      <c r="P89" s="88">
        <f t="shared" si="35"/>
        <v>0</v>
      </c>
      <c r="Q89" s="88">
        <f t="shared" si="36"/>
        <v>0</v>
      </c>
      <c r="R89" s="88">
        <f t="shared" si="37"/>
        <v>0</v>
      </c>
      <c r="S89" s="88">
        <f t="shared" si="38"/>
        <v>0</v>
      </c>
      <c r="T89" s="88">
        <f t="shared" si="39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5"/>
        <v>0</v>
      </c>
      <c r="Q90" s="88">
        <f t="shared" si="36"/>
        <v>0</v>
      </c>
      <c r="R90" s="88">
        <f t="shared" si="37"/>
        <v>0</v>
      </c>
      <c r="S90" s="88">
        <f t="shared" si="38"/>
        <v>0</v>
      </c>
      <c r="T90" s="88">
        <f t="shared" si="39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5"/>
        <v>0</v>
      </c>
      <c r="Q91" s="88">
        <f t="shared" si="36"/>
        <v>0</v>
      </c>
      <c r="R91" s="88">
        <f t="shared" si="37"/>
        <v>0</v>
      </c>
      <c r="S91" s="88">
        <f t="shared" si="38"/>
        <v>0</v>
      </c>
      <c r="T91" s="88">
        <f t="shared" si="39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5"/>
        <v>0</v>
      </c>
      <c r="Q92" s="88">
        <f t="shared" si="36"/>
        <v>0</v>
      </c>
      <c r="R92" s="88">
        <f t="shared" si="37"/>
        <v>0</v>
      </c>
      <c r="S92" s="88">
        <f t="shared" si="38"/>
        <v>0</v>
      </c>
      <c r="T92" s="88">
        <f t="shared" si="39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372" t="s">
        <v>178</v>
      </c>
      <c r="K93" s="372"/>
      <c r="L93" s="372"/>
      <c r="M93" s="154"/>
      <c r="N93" s="155"/>
      <c r="O93" s="106"/>
      <c r="P93" s="88">
        <f t="shared" si="35"/>
        <v>0</v>
      </c>
      <c r="Q93" s="88">
        <f t="shared" si="36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373" t="s">
        <v>179</v>
      </c>
      <c r="K94" s="373"/>
      <c r="L94" s="373"/>
      <c r="M94" s="162"/>
      <c r="N94" s="163"/>
      <c r="O94" s="106"/>
      <c r="P94" s="88">
        <f t="shared" si="35"/>
        <v>0</v>
      </c>
      <c r="Q94" s="88">
        <f t="shared" si="36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5"/>
        <v>0</v>
      </c>
      <c r="Q95" s="88">
        <f t="shared" si="36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5"/>
        <v>0</v>
      </c>
      <c r="Q96" s="88">
        <f t="shared" si="36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5"/>
        <v>0</v>
      </c>
      <c r="Q97" s="88">
        <f t="shared" si="36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5"/>
        <v>0</v>
      </c>
      <c r="Q98" s="88">
        <f t="shared" si="36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5"/>
        <v>0</v>
      </c>
      <c r="Q99" s="88">
        <f t="shared" si="36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5"/>
        <v>0</v>
      </c>
      <c r="Q100" s="88">
        <f t="shared" si="36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5"/>
        <v>0</v>
      </c>
      <c r="Q101" s="88">
        <f t="shared" si="36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5"/>
        <v>0</v>
      </c>
      <c r="Q102" s="88">
        <f t="shared" si="36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5"/>
        <v>0</v>
      </c>
      <c r="Q103" s="88">
        <f t="shared" si="36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5"/>
        <v>0</v>
      </c>
      <c r="Q104" s="88">
        <f t="shared" si="36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5"/>
        <v>16305000</v>
      </c>
      <c r="Q105" s="88">
        <f t="shared" si="36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5"/>
        <v>128333.33333333333</v>
      </c>
      <c r="Q106" s="88">
        <f t="shared" si="36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5"/>
        <v>1666666.6666666667</v>
      </c>
      <c r="Q107" s="88">
        <f t="shared" si="36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5"/>
        <v>5833333.333333333</v>
      </c>
      <c r="Q108" s="88">
        <f t="shared" si="36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5"/>
        <v>20650114.583333332</v>
      </c>
      <c r="Q109" s="88">
        <f t="shared" si="36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5"/>
        <v>286616.66666666669</v>
      </c>
      <c r="Q110" s="88">
        <f t="shared" si="36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5"/>
        <v>2083333.3333333333</v>
      </c>
      <c r="Q111" s="88">
        <f t="shared" si="36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5"/>
        <v>1125000</v>
      </c>
      <c r="Q112" s="88">
        <f t="shared" si="36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5"/>
        <v>333333.33333333331</v>
      </c>
      <c r="Q113" s="88">
        <f t="shared" si="36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5"/>
        <v>2050000</v>
      </c>
      <c r="Q114" s="88">
        <f t="shared" si="36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5"/>
        <v>225000</v>
      </c>
      <c r="Q115" s="88">
        <f t="shared" si="36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5"/>
        <v>0</v>
      </c>
      <c r="Q116" s="88">
        <f t="shared" si="36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5"/>
        <v>6807500</v>
      </c>
      <c r="Q117" s="88">
        <f t="shared" si="36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5"/>
        <v>4343866.666666667</v>
      </c>
      <c r="Q118" s="88">
        <f t="shared" si="36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5"/>
        <v>2429833.3333333335</v>
      </c>
      <c r="Q119" s="88">
        <f t="shared" si="36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5"/>
        <v>985416.66666666663</v>
      </c>
      <c r="Q120" s="88">
        <f t="shared" si="36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5"/>
        <v>337500</v>
      </c>
      <c r="Q121" s="88">
        <f t="shared" si="36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5"/>
        <v>600000</v>
      </c>
      <c r="Q122" s="88">
        <f t="shared" si="36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5"/>
        <v>0</v>
      </c>
      <c r="Q123" s="88">
        <f t="shared" si="36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4"/>
  <sheetViews>
    <sheetView view="pageBreakPreview" topLeftCell="A76" zoomScale="86" zoomScaleNormal="75" zoomScaleSheetLayoutView="86" workbookViewId="0">
      <selection activeCell="A86" sqref="A86:D86"/>
    </sheetView>
  </sheetViews>
  <sheetFormatPr defaultColWidth="9.1796875" defaultRowHeight="14.5" x14ac:dyDescent="0.35"/>
  <cols>
    <col min="1" max="1" width="21.26953125" style="88" customWidth="1"/>
    <col min="2" max="2" width="50.1796875" style="88" customWidth="1"/>
    <col min="3" max="3" width="1.7265625" style="88" customWidth="1"/>
    <col min="4" max="4" width="6" style="88" customWidth="1"/>
    <col min="5" max="5" width="18.1796875" style="88" customWidth="1"/>
    <col min="6" max="6" width="16.453125" style="88" customWidth="1"/>
    <col min="7" max="7" width="19.81640625" style="88" customWidth="1"/>
    <col min="8" max="8" width="9.26953125" style="88" customWidth="1"/>
    <col min="9" max="9" width="18.54296875" style="88" customWidth="1"/>
    <col min="10" max="10" width="8.7265625" style="88" customWidth="1"/>
    <col min="11" max="11" width="8.453125" style="88" customWidth="1"/>
    <col min="12" max="12" width="14.81640625" style="88" customWidth="1"/>
    <col min="13" max="13" width="16.453125" style="88" customWidth="1"/>
    <col min="14" max="14" width="7.7265625" style="88" customWidth="1"/>
    <col min="15" max="15" width="21.453125" style="88" customWidth="1"/>
    <col min="16" max="16" width="23" style="88" customWidth="1"/>
    <col min="17" max="17" width="16.26953125" style="88" customWidth="1"/>
    <col min="18" max="20" width="12.7265625" style="88" bestFit="1" customWidth="1"/>
    <col min="21" max="16384" width="9.1796875" style="88"/>
  </cols>
  <sheetData>
    <row r="1" spans="1:20" ht="33.5" x14ac:dyDescent="0.85">
      <c r="A1" s="348" t="s">
        <v>148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50"/>
      <c r="O1" s="87"/>
      <c r="P1" s="88">
        <v>1</v>
      </c>
      <c r="Q1" s="88" t="s">
        <v>183</v>
      </c>
    </row>
    <row r="2" spans="1:20" ht="33.5" x14ac:dyDescent="0.85">
      <c r="A2" s="351" t="s">
        <v>155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87"/>
      <c r="P2" s="88">
        <v>2</v>
      </c>
      <c r="Q2" s="88" t="s">
        <v>184</v>
      </c>
    </row>
    <row r="3" spans="1:20" x14ac:dyDescent="0.3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  <c r="Q3" s="88" t="s">
        <v>185</v>
      </c>
    </row>
    <row r="4" spans="1:20" ht="15.5" x14ac:dyDescent="0.35">
      <c r="A4" s="93" t="s">
        <v>0</v>
      </c>
      <c r="B4" s="94"/>
      <c r="C4" s="95" t="s">
        <v>1</v>
      </c>
      <c r="D4" s="94" t="s">
        <v>2</v>
      </c>
      <c r="E4" s="95"/>
      <c r="F4" s="95"/>
      <c r="G4" s="96"/>
      <c r="H4" s="96"/>
      <c r="I4" s="96"/>
      <c r="J4" s="95"/>
      <c r="K4" s="95"/>
      <c r="L4" s="95"/>
      <c r="M4" s="95"/>
      <c r="N4" s="97"/>
      <c r="O4" s="95"/>
      <c r="P4" s="88">
        <v>3</v>
      </c>
      <c r="Q4" s="88" t="s">
        <v>186</v>
      </c>
    </row>
    <row r="5" spans="1:20" ht="15.5" x14ac:dyDescent="0.35">
      <c r="A5" s="93" t="s">
        <v>3</v>
      </c>
      <c r="B5" s="94"/>
      <c r="C5" s="95" t="s">
        <v>1</v>
      </c>
      <c r="D5" s="96" t="s">
        <v>156</v>
      </c>
      <c r="E5" s="95"/>
      <c r="F5" s="95"/>
      <c r="G5" s="96"/>
      <c r="H5" s="96"/>
      <c r="I5" s="96"/>
      <c r="J5" s="95"/>
      <c r="K5" s="95"/>
      <c r="L5" s="95"/>
      <c r="M5" s="95"/>
      <c r="N5" s="97"/>
      <c r="O5" s="95"/>
      <c r="Q5" s="88" t="s">
        <v>187</v>
      </c>
    </row>
    <row r="6" spans="1:20" ht="15.5" x14ac:dyDescent="0.35">
      <c r="A6" s="354" t="s">
        <v>4</v>
      </c>
      <c r="B6" s="357" t="s">
        <v>5</v>
      </c>
      <c r="C6" s="357"/>
      <c r="D6" s="358"/>
      <c r="E6" s="363" t="s">
        <v>6</v>
      </c>
      <c r="F6" s="366" t="s">
        <v>7</v>
      </c>
      <c r="G6" s="366" t="s">
        <v>158</v>
      </c>
      <c r="H6" s="366" t="s">
        <v>9</v>
      </c>
      <c r="I6" s="369" t="s">
        <v>10</v>
      </c>
      <c r="J6" s="369"/>
      <c r="K6" s="369"/>
      <c r="L6" s="369"/>
      <c r="M6" s="366" t="s">
        <v>11</v>
      </c>
      <c r="N6" s="354" t="s">
        <v>12</v>
      </c>
      <c r="O6" s="98"/>
    </row>
    <row r="7" spans="1:20" ht="15.5" x14ac:dyDescent="0.35">
      <c r="A7" s="355"/>
      <c r="B7" s="359"/>
      <c r="C7" s="359"/>
      <c r="D7" s="360"/>
      <c r="E7" s="364"/>
      <c r="F7" s="367"/>
      <c r="G7" s="367"/>
      <c r="H7" s="367"/>
      <c r="I7" s="369" t="s">
        <v>13</v>
      </c>
      <c r="J7" s="369"/>
      <c r="K7" s="370" t="s">
        <v>14</v>
      </c>
      <c r="L7" s="370"/>
      <c r="M7" s="367"/>
      <c r="N7" s="355"/>
      <c r="O7" s="98"/>
    </row>
    <row r="8" spans="1:20" ht="15.5" x14ac:dyDescent="0.35">
      <c r="A8" s="356"/>
      <c r="B8" s="361"/>
      <c r="C8" s="361"/>
      <c r="D8" s="362"/>
      <c r="E8" s="365"/>
      <c r="F8" s="368"/>
      <c r="G8" s="368"/>
      <c r="H8" s="368"/>
      <c r="I8" s="99" t="s">
        <v>15</v>
      </c>
      <c r="J8" s="99" t="s">
        <v>16</v>
      </c>
      <c r="K8" s="99" t="s">
        <v>16</v>
      </c>
      <c r="L8" s="100" t="s">
        <v>17</v>
      </c>
      <c r="M8" s="368"/>
      <c r="N8" s="356"/>
      <c r="O8" s="98"/>
    </row>
    <row r="9" spans="1:20" ht="15.5" x14ac:dyDescent="0.35">
      <c r="A9" s="101"/>
      <c r="B9" s="102" t="s">
        <v>18</v>
      </c>
      <c r="C9" s="103"/>
      <c r="D9" s="104"/>
      <c r="E9" s="196"/>
      <c r="F9" s="105"/>
      <c r="G9" s="105"/>
      <c r="H9" s="105"/>
      <c r="I9" s="204"/>
      <c r="J9" s="105"/>
      <c r="K9" s="204"/>
      <c r="L9" s="204"/>
      <c r="M9" s="105"/>
      <c r="N9" s="105"/>
      <c r="O9" s="106"/>
    </row>
    <row r="10" spans="1:20" ht="15.5" x14ac:dyDescent="0.35">
      <c r="A10" s="180" t="s">
        <v>19</v>
      </c>
      <c r="B10" s="181" t="s">
        <v>20</v>
      </c>
      <c r="C10" s="182"/>
      <c r="D10" s="183"/>
      <c r="E10" s="197">
        <f>SUM(E11:E21)</f>
        <v>608240775</v>
      </c>
      <c r="F10" s="184">
        <v>0</v>
      </c>
      <c r="G10" s="184">
        <v>0</v>
      </c>
      <c r="H10" s="185">
        <f>SUM(H11:H21)</f>
        <v>28.956531002256092</v>
      </c>
      <c r="I10" s="195">
        <f>SUM(I11:I21)</f>
        <v>12300000</v>
      </c>
      <c r="J10" s="195"/>
      <c r="K10" s="195">
        <f>SUM(K11:K21)/11</f>
        <v>8.5528637555134654</v>
      </c>
      <c r="L10" s="195">
        <f>SUM(L11:L21)</f>
        <v>2.0947537195382977</v>
      </c>
      <c r="M10" s="185">
        <f>SUM(M11:M21)</f>
        <v>595940775</v>
      </c>
      <c r="N10" s="186"/>
      <c r="O10" s="94"/>
      <c r="Q10" s="88" t="s">
        <v>180</v>
      </c>
      <c r="R10" s="88" t="s">
        <v>181</v>
      </c>
      <c r="S10" s="88" t="s">
        <v>182</v>
      </c>
      <c r="T10" s="88" t="s">
        <v>182</v>
      </c>
    </row>
    <row r="11" spans="1:20" ht="15.5" x14ac:dyDescent="0.35">
      <c r="A11" s="110" t="s">
        <v>21</v>
      </c>
      <c r="B11" s="111" t="s">
        <v>22</v>
      </c>
      <c r="C11" s="112"/>
      <c r="D11" s="113"/>
      <c r="E11" s="115">
        <v>195660000</v>
      </c>
      <c r="F11" s="114">
        <v>0</v>
      </c>
      <c r="G11" s="114">
        <v>0</v>
      </c>
      <c r="H11" s="168">
        <f t="shared" ref="H11:H21" si="0">E11/$E$86*100</f>
        <v>9.3147896174856513</v>
      </c>
      <c r="I11" s="115">
        <v>0</v>
      </c>
      <c r="J11" s="168">
        <f>I11/$E$86*100</f>
        <v>0</v>
      </c>
      <c r="K11" s="178">
        <f>Q11/E11*100</f>
        <v>16.666666666666664</v>
      </c>
      <c r="L11" s="207">
        <f>K11*H11/100</f>
        <v>1.5524649362476084</v>
      </c>
      <c r="M11" s="116">
        <f>E11-I11</f>
        <v>195660000</v>
      </c>
      <c r="N11" s="117"/>
      <c r="O11" s="118"/>
      <c r="P11" s="88">
        <f>E11/12</f>
        <v>16305000</v>
      </c>
      <c r="Q11" s="88">
        <f>P11*2</f>
        <v>32610000</v>
      </c>
      <c r="R11" s="88">
        <f>P11*3</f>
        <v>48915000</v>
      </c>
      <c r="S11" s="88">
        <f>P11*4</f>
        <v>65220000</v>
      </c>
      <c r="T11" s="88">
        <f>P11*5</f>
        <v>81525000</v>
      </c>
    </row>
    <row r="12" spans="1:20" ht="15.5" x14ac:dyDescent="0.35">
      <c r="A12" s="110" t="s">
        <v>23</v>
      </c>
      <c r="B12" s="345" t="s">
        <v>24</v>
      </c>
      <c r="C12" s="346"/>
      <c r="D12" s="347"/>
      <c r="E12" s="115">
        <v>1540000</v>
      </c>
      <c r="F12" s="114">
        <v>0</v>
      </c>
      <c r="G12" s="114">
        <v>0</v>
      </c>
      <c r="H12" s="168">
        <f t="shared" si="0"/>
        <v>7.3314811463395177E-2</v>
      </c>
      <c r="I12" s="115">
        <v>0</v>
      </c>
      <c r="J12" s="168">
        <f>I12/$E$86*100</f>
        <v>0</v>
      </c>
      <c r="K12" s="178">
        <v>0</v>
      </c>
      <c r="L12" s="207">
        <f>K12*H12/100</f>
        <v>0</v>
      </c>
      <c r="M12" s="116">
        <f t="shared" ref="M12:M75" si="1">E12-I12</f>
        <v>1540000</v>
      </c>
      <c r="N12" s="114"/>
      <c r="O12" s="118"/>
      <c r="P12" s="88">
        <f t="shared" ref="P12:P75" si="2">E12/12</f>
        <v>128333.33333333333</v>
      </c>
      <c r="Q12" s="88">
        <f t="shared" ref="Q12:Q75" si="3">P12*2</f>
        <v>256666.66666666666</v>
      </c>
      <c r="R12" s="88">
        <f t="shared" ref="R12:R75" si="4">P12*3</f>
        <v>385000</v>
      </c>
      <c r="S12" s="88">
        <f t="shared" ref="S12:S75" si="5">P12*4</f>
        <v>513333.33333333331</v>
      </c>
      <c r="T12" s="88">
        <f t="shared" ref="T12:T75" si="6">P12*5</f>
        <v>641666.66666666663</v>
      </c>
    </row>
    <row r="13" spans="1:20" ht="15.5" x14ac:dyDescent="0.35">
      <c r="A13" s="110" t="s">
        <v>25</v>
      </c>
      <c r="B13" s="119" t="s">
        <v>26</v>
      </c>
      <c r="C13" s="112"/>
      <c r="D13" s="113"/>
      <c r="E13" s="115">
        <v>24600000</v>
      </c>
      <c r="F13" s="114">
        <v>0</v>
      </c>
      <c r="G13" s="114">
        <v>0</v>
      </c>
      <c r="H13" s="168">
        <f t="shared" si="0"/>
        <v>1.1711327025970919</v>
      </c>
      <c r="I13" s="115">
        <v>0</v>
      </c>
      <c r="J13" s="168">
        <f t="shared" ref="J13:J76" si="7">I13/$E$86*100</f>
        <v>0</v>
      </c>
      <c r="K13" s="178">
        <f>2500000/E13*100</f>
        <v>10.16260162601626</v>
      </c>
      <c r="L13" s="207">
        <f>K13*H13/100</f>
        <v>0.11901755107694022</v>
      </c>
      <c r="M13" s="116">
        <f t="shared" si="1"/>
        <v>24600000</v>
      </c>
      <c r="N13" s="114"/>
      <c r="O13" s="118"/>
      <c r="P13" s="88">
        <f t="shared" si="2"/>
        <v>2050000</v>
      </c>
      <c r="Q13" s="88">
        <f t="shared" si="3"/>
        <v>4100000</v>
      </c>
      <c r="R13" s="88">
        <f t="shared" si="4"/>
        <v>6150000</v>
      </c>
      <c r="S13" s="88">
        <f t="shared" si="5"/>
        <v>8200000</v>
      </c>
      <c r="T13" s="88">
        <f t="shared" si="6"/>
        <v>10250000</v>
      </c>
    </row>
    <row r="14" spans="1:20" ht="15.5" x14ac:dyDescent="0.35">
      <c r="A14" s="110" t="s">
        <v>27</v>
      </c>
      <c r="B14" s="119" t="s">
        <v>157</v>
      </c>
      <c r="C14" s="112"/>
      <c r="D14" s="113"/>
      <c r="E14" s="115">
        <v>3439400</v>
      </c>
      <c r="F14" s="114">
        <v>0</v>
      </c>
      <c r="G14" s="114">
        <v>0</v>
      </c>
      <c r="H14" s="168">
        <f t="shared" si="0"/>
        <v>0.16373958606961128</v>
      </c>
      <c r="I14" s="115">
        <v>0</v>
      </c>
      <c r="J14" s="168">
        <f t="shared" si="7"/>
        <v>0</v>
      </c>
      <c r="K14" s="178">
        <f>Q14/E14*100</f>
        <v>16.666666666666668</v>
      </c>
      <c r="L14" s="207">
        <f t="shared" ref="L14:L43" si="8">K14*H14/100</f>
        <v>2.7289931011601883E-2</v>
      </c>
      <c r="M14" s="116">
        <f t="shared" si="1"/>
        <v>3439400</v>
      </c>
      <c r="N14" s="114"/>
      <c r="O14" s="118"/>
      <c r="P14" s="88">
        <f t="shared" si="2"/>
        <v>286616.66666666669</v>
      </c>
      <c r="Q14" s="88">
        <f t="shared" si="3"/>
        <v>573233.33333333337</v>
      </c>
      <c r="R14" s="88">
        <f t="shared" si="4"/>
        <v>859850</v>
      </c>
      <c r="S14" s="88">
        <f t="shared" si="5"/>
        <v>1146466.6666666667</v>
      </c>
      <c r="T14" s="88">
        <f t="shared" si="6"/>
        <v>1433083.3333333335</v>
      </c>
    </row>
    <row r="15" spans="1:20" ht="15.5" x14ac:dyDescent="0.35">
      <c r="A15" s="110" t="s">
        <v>29</v>
      </c>
      <c r="B15" s="345" t="s">
        <v>30</v>
      </c>
      <c r="C15" s="346"/>
      <c r="D15" s="347"/>
      <c r="E15" s="198">
        <v>2700000</v>
      </c>
      <c r="F15" s="114">
        <v>0</v>
      </c>
      <c r="G15" s="116">
        <v>0</v>
      </c>
      <c r="H15" s="168">
        <f t="shared" si="0"/>
        <v>0.12853895516309546</v>
      </c>
      <c r="I15" s="115">
        <v>0</v>
      </c>
      <c r="J15" s="168">
        <f t="shared" si="7"/>
        <v>0</v>
      </c>
      <c r="K15" s="178">
        <f>Q15/E15*100</f>
        <v>16.666666666666664</v>
      </c>
      <c r="L15" s="207">
        <f t="shared" si="8"/>
        <v>2.1423159193849243E-2</v>
      </c>
      <c r="M15" s="116">
        <f t="shared" si="1"/>
        <v>2700000</v>
      </c>
      <c r="N15" s="114"/>
      <c r="O15" s="118"/>
      <c r="P15" s="88">
        <f t="shared" si="2"/>
        <v>225000</v>
      </c>
      <c r="Q15" s="88">
        <f t="shared" si="3"/>
        <v>450000</v>
      </c>
      <c r="R15" s="88">
        <f t="shared" si="4"/>
        <v>675000</v>
      </c>
      <c r="S15" s="88">
        <f t="shared" si="5"/>
        <v>900000</v>
      </c>
      <c r="T15" s="88">
        <f t="shared" si="6"/>
        <v>1125000</v>
      </c>
    </row>
    <row r="16" spans="1:20" ht="15.5" x14ac:dyDescent="0.35">
      <c r="A16" s="110" t="s">
        <v>31</v>
      </c>
      <c r="B16" s="119" t="s">
        <v>32</v>
      </c>
      <c r="C16" s="112"/>
      <c r="D16" s="113"/>
      <c r="E16" s="198">
        <v>20000000</v>
      </c>
      <c r="F16" s="114">
        <v>0</v>
      </c>
      <c r="G16" s="116">
        <v>0</v>
      </c>
      <c r="H16" s="168">
        <f t="shared" si="0"/>
        <v>0.95214040861552185</v>
      </c>
      <c r="I16" s="115">
        <v>0</v>
      </c>
      <c r="J16" s="168">
        <f t="shared" si="7"/>
        <v>0</v>
      </c>
      <c r="K16" s="178">
        <v>0</v>
      </c>
      <c r="L16" s="207">
        <f t="shared" si="8"/>
        <v>0</v>
      </c>
      <c r="M16" s="116">
        <f t="shared" si="1"/>
        <v>20000000</v>
      </c>
      <c r="N16" s="114"/>
      <c r="O16" s="118"/>
      <c r="P16" s="88">
        <f t="shared" si="2"/>
        <v>1666666.6666666667</v>
      </c>
      <c r="Q16" s="88">
        <f t="shared" si="3"/>
        <v>3333333.3333333335</v>
      </c>
      <c r="R16" s="88">
        <f t="shared" si="4"/>
        <v>5000000</v>
      </c>
      <c r="S16" s="88">
        <f t="shared" si="5"/>
        <v>6666666.666666667</v>
      </c>
      <c r="T16" s="88">
        <f t="shared" si="6"/>
        <v>8333333.333333334</v>
      </c>
    </row>
    <row r="17" spans="1:20" ht="15.5" x14ac:dyDescent="0.35">
      <c r="A17" s="110" t="s">
        <v>33</v>
      </c>
      <c r="B17" s="119" t="s">
        <v>34</v>
      </c>
      <c r="C17" s="112"/>
      <c r="D17" s="113"/>
      <c r="E17" s="115">
        <v>70000000</v>
      </c>
      <c r="F17" s="114">
        <v>0</v>
      </c>
      <c r="G17" s="114">
        <v>0</v>
      </c>
      <c r="H17" s="168">
        <f t="shared" si="0"/>
        <v>3.3324914301543265</v>
      </c>
      <c r="I17" s="115">
        <v>0</v>
      </c>
      <c r="J17" s="168">
        <f t="shared" si="7"/>
        <v>0</v>
      </c>
      <c r="K17" s="178">
        <v>0</v>
      </c>
      <c r="L17" s="207">
        <f t="shared" si="8"/>
        <v>0</v>
      </c>
      <c r="M17" s="116">
        <f t="shared" si="1"/>
        <v>70000000</v>
      </c>
      <c r="N17" s="114"/>
      <c r="O17" s="118"/>
      <c r="P17" s="88">
        <f t="shared" si="2"/>
        <v>5833333.333333333</v>
      </c>
      <c r="Q17" s="88">
        <f t="shared" si="3"/>
        <v>11666666.666666666</v>
      </c>
      <c r="R17" s="88">
        <f t="shared" si="4"/>
        <v>17500000</v>
      </c>
      <c r="S17" s="88">
        <f t="shared" si="5"/>
        <v>23333333.333333332</v>
      </c>
      <c r="T17" s="88">
        <f t="shared" si="6"/>
        <v>29166666.666666664</v>
      </c>
    </row>
    <row r="18" spans="1:20" ht="15.5" x14ac:dyDescent="0.35">
      <c r="A18" s="110" t="s">
        <v>35</v>
      </c>
      <c r="B18" s="119" t="s">
        <v>36</v>
      </c>
      <c r="C18" s="112"/>
      <c r="D18" s="113"/>
      <c r="E18" s="115">
        <v>247801375</v>
      </c>
      <c r="F18" s="114">
        <v>0</v>
      </c>
      <c r="G18" s="114">
        <v>0</v>
      </c>
      <c r="H18" s="168">
        <f t="shared" si="0"/>
        <v>11.797085122399409</v>
      </c>
      <c r="I18" s="115">
        <v>12300000</v>
      </c>
      <c r="J18" s="168">
        <f>I18/$E$86*100</f>
        <v>0.58556635129854595</v>
      </c>
      <c r="K18" s="178">
        <f>J18</f>
        <v>0.58556635129854595</v>
      </c>
      <c r="L18" s="207">
        <f>K18*H18/100</f>
        <v>6.9079760910817814E-2</v>
      </c>
      <c r="M18" s="116">
        <f t="shared" si="1"/>
        <v>235501375</v>
      </c>
      <c r="N18" s="114"/>
      <c r="O18" s="118"/>
      <c r="P18" s="88">
        <f t="shared" si="2"/>
        <v>20650114.583333332</v>
      </c>
      <c r="Q18" s="88">
        <f t="shared" si="3"/>
        <v>41300229.166666664</v>
      </c>
      <c r="R18" s="88">
        <f t="shared" si="4"/>
        <v>61950343.75</v>
      </c>
      <c r="S18" s="88">
        <f t="shared" si="5"/>
        <v>82600458.333333328</v>
      </c>
      <c r="T18" s="88">
        <f t="shared" si="6"/>
        <v>103250572.91666666</v>
      </c>
    </row>
    <row r="19" spans="1:20" ht="15.5" x14ac:dyDescent="0.35">
      <c r="A19" s="110" t="s">
        <v>37</v>
      </c>
      <c r="B19" s="119" t="s">
        <v>38</v>
      </c>
      <c r="C19" s="112"/>
      <c r="D19" s="113"/>
      <c r="E19" s="198">
        <v>25000000</v>
      </c>
      <c r="F19" s="114">
        <v>0</v>
      </c>
      <c r="G19" s="116">
        <v>0</v>
      </c>
      <c r="H19" s="168">
        <f t="shared" si="0"/>
        <v>1.1901755107694023</v>
      </c>
      <c r="I19" s="115">
        <v>0</v>
      </c>
      <c r="J19" s="168">
        <f t="shared" si="7"/>
        <v>0</v>
      </c>
      <c r="K19" s="178">
        <f t="shared" ref="K19:K20" si="9">Q19/E19*100</f>
        <v>16.666666666666664</v>
      </c>
      <c r="L19" s="207">
        <f t="shared" si="8"/>
        <v>0.19836258512823371</v>
      </c>
      <c r="M19" s="116">
        <f t="shared" si="1"/>
        <v>25000000</v>
      </c>
      <c r="N19" s="114"/>
      <c r="O19" s="118"/>
      <c r="P19" s="88">
        <f t="shared" si="2"/>
        <v>2083333.3333333333</v>
      </c>
      <c r="Q19" s="88">
        <f t="shared" si="3"/>
        <v>4166666.6666666665</v>
      </c>
      <c r="R19" s="88">
        <f t="shared" si="4"/>
        <v>6250000</v>
      </c>
      <c r="S19" s="88">
        <f t="shared" si="5"/>
        <v>8333333.333333333</v>
      </c>
      <c r="T19" s="88">
        <f t="shared" si="6"/>
        <v>10416666.666666666</v>
      </c>
    </row>
    <row r="20" spans="1:20" ht="15.5" x14ac:dyDescent="0.35">
      <c r="A20" s="110" t="s">
        <v>39</v>
      </c>
      <c r="B20" s="119" t="s">
        <v>40</v>
      </c>
      <c r="C20" s="112"/>
      <c r="D20" s="113"/>
      <c r="E20" s="115">
        <v>13500000</v>
      </c>
      <c r="F20" s="114">
        <v>0</v>
      </c>
      <c r="G20" s="114">
        <v>0</v>
      </c>
      <c r="H20" s="168">
        <f t="shared" si="0"/>
        <v>0.64269477581547729</v>
      </c>
      <c r="I20" s="115">
        <v>0</v>
      </c>
      <c r="J20" s="168">
        <f t="shared" si="7"/>
        <v>0</v>
      </c>
      <c r="K20" s="178">
        <f t="shared" si="9"/>
        <v>16.666666666666664</v>
      </c>
      <c r="L20" s="207">
        <f t="shared" si="8"/>
        <v>0.1071157959692462</v>
      </c>
      <c r="M20" s="116">
        <f t="shared" si="1"/>
        <v>13500000</v>
      </c>
      <c r="N20" s="114"/>
      <c r="O20" s="118"/>
      <c r="P20" s="88">
        <f t="shared" si="2"/>
        <v>1125000</v>
      </c>
      <c r="Q20" s="88">
        <f t="shared" si="3"/>
        <v>2250000</v>
      </c>
      <c r="R20" s="88">
        <f t="shared" si="4"/>
        <v>3375000</v>
      </c>
      <c r="S20" s="88">
        <f t="shared" si="5"/>
        <v>4500000</v>
      </c>
      <c r="T20" s="88">
        <f t="shared" si="6"/>
        <v>5625000</v>
      </c>
    </row>
    <row r="21" spans="1:20" ht="15.5" x14ac:dyDescent="0.35">
      <c r="A21" s="110" t="s">
        <v>41</v>
      </c>
      <c r="B21" s="345" t="s">
        <v>42</v>
      </c>
      <c r="C21" s="346"/>
      <c r="D21" s="347"/>
      <c r="E21" s="198">
        <v>4000000</v>
      </c>
      <c r="F21" s="114">
        <v>0</v>
      </c>
      <c r="G21" s="116">
        <v>0</v>
      </c>
      <c r="H21" s="168">
        <f t="shared" si="0"/>
        <v>0.19042808172310438</v>
      </c>
      <c r="I21" s="115">
        <v>0</v>
      </c>
      <c r="J21" s="168">
        <f t="shared" si="7"/>
        <v>0</v>
      </c>
      <c r="K21" s="178">
        <v>0</v>
      </c>
      <c r="L21" s="207">
        <f t="shared" si="8"/>
        <v>0</v>
      </c>
      <c r="M21" s="116">
        <f t="shared" si="1"/>
        <v>4000000</v>
      </c>
      <c r="N21" s="114"/>
      <c r="O21" s="118"/>
      <c r="P21" s="88">
        <f t="shared" si="2"/>
        <v>333333.33333333331</v>
      </c>
      <c r="Q21" s="88">
        <f t="shared" si="3"/>
        <v>666666.66666666663</v>
      </c>
      <c r="R21" s="88">
        <f t="shared" si="4"/>
        <v>1000000</v>
      </c>
      <c r="S21" s="88">
        <f t="shared" si="5"/>
        <v>1333333.3333333333</v>
      </c>
      <c r="T21" s="88">
        <f t="shared" si="6"/>
        <v>1666666.6666666665</v>
      </c>
    </row>
    <row r="22" spans="1:20" ht="15.5" x14ac:dyDescent="0.35">
      <c r="A22" s="110"/>
      <c r="B22" s="120"/>
      <c r="C22" s="121"/>
      <c r="D22" s="122"/>
      <c r="E22" s="198"/>
      <c r="F22" s="114"/>
      <c r="G22" s="116"/>
      <c r="H22" s="168"/>
      <c r="I22" s="115"/>
      <c r="J22" s="168">
        <f t="shared" si="7"/>
        <v>0</v>
      </c>
      <c r="K22" s="178"/>
      <c r="L22" s="207"/>
      <c r="M22" s="116">
        <f t="shared" si="1"/>
        <v>0</v>
      </c>
      <c r="N22" s="114"/>
      <c r="O22" s="118"/>
      <c r="P22" s="88">
        <f t="shared" si="2"/>
        <v>0</v>
      </c>
      <c r="Q22" s="88">
        <f t="shared" si="3"/>
        <v>0</v>
      </c>
      <c r="R22" s="88">
        <f t="shared" si="4"/>
        <v>0</v>
      </c>
      <c r="S22" s="88">
        <f t="shared" si="5"/>
        <v>0</v>
      </c>
      <c r="T22" s="88">
        <f t="shared" si="6"/>
        <v>0</v>
      </c>
    </row>
    <row r="23" spans="1:20" ht="15.5" x14ac:dyDescent="0.35">
      <c r="A23" s="180" t="s">
        <v>43</v>
      </c>
      <c r="B23" s="342" t="s">
        <v>44</v>
      </c>
      <c r="C23" s="343"/>
      <c r="D23" s="344"/>
      <c r="E23" s="197">
        <f>SUM(E24:E29)</f>
        <v>186049400</v>
      </c>
      <c r="F23" s="184">
        <v>0</v>
      </c>
      <c r="G23" s="184">
        <v>0</v>
      </c>
      <c r="H23" s="185">
        <f t="shared" ref="H23:I23" si="10">SUM(H24:H29)</f>
        <v>8.8572575869336347</v>
      </c>
      <c r="I23" s="195">
        <f t="shared" si="10"/>
        <v>3400000</v>
      </c>
      <c r="J23" s="187"/>
      <c r="K23" s="195">
        <f>SUM(K24:K29)/6</f>
        <v>14.111111111111112</v>
      </c>
      <c r="L23" s="195">
        <f>SUM(L24:L29)</f>
        <v>0.79640514958100517</v>
      </c>
      <c r="M23" s="185">
        <f>SUM(M24:M29)</f>
        <v>182649400</v>
      </c>
      <c r="N23" s="188"/>
      <c r="O23" s="118"/>
      <c r="P23" s="88">
        <f t="shared" si="2"/>
        <v>15504116.666666666</v>
      </c>
      <c r="Q23" s="88">
        <f t="shared" si="3"/>
        <v>31008233.333333332</v>
      </c>
      <c r="R23" s="88">
        <f t="shared" si="4"/>
        <v>46512350</v>
      </c>
      <c r="S23" s="88">
        <f t="shared" si="5"/>
        <v>62016466.666666664</v>
      </c>
      <c r="T23" s="88">
        <f t="shared" si="6"/>
        <v>77520583.333333328</v>
      </c>
    </row>
    <row r="24" spans="1:20" ht="15.5" x14ac:dyDescent="0.35">
      <c r="A24" s="110" t="s">
        <v>159</v>
      </c>
      <c r="B24" s="119" t="s">
        <v>160</v>
      </c>
      <c r="C24" s="107"/>
      <c r="D24" s="108"/>
      <c r="E24" s="198">
        <v>81690000</v>
      </c>
      <c r="F24" s="114">
        <v>0</v>
      </c>
      <c r="G24" s="116">
        <v>0</v>
      </c>
      <c r="H24" s="168">
        <f t="shared" ref="H24:H29" si="11">E24/$E$86*100</f>
        <v>3.8890174989900994</v>
      </c>
      <c r="I24" s="115">
        <v>0</v>
      </c>
      <c r="J24" s="168">
        <f t="shared" si="7"/>
        <v>0</v>
      </c>
      <c r="K24" s="178">
        <v>0</v>
      </c>
      <c r="L24" s="207">
        <f t="shared" si="8"/>
        <v>0</v>
      </c>
      <c r="M24" s="116">
        <f t="shared" si="1"/>
        <v>81690000</v>
      </c>
      <c r="N24" s="114"/>
      <c r="O24" s="118"/>
      <c r="P24" s="88">
        <f t="shared" si="2"/>
        <v>6807500</v>
      </c>
      <c r="Q24" s="88">
        <f t="shared" si="3"/>
        <v>13615000</v>
      </c>
      <c r="R24" s="88">
        <f t="shared" si="4"/>
        <v>20422500</v>
      </c>
      <c r="S24" s="88">
        <f t="shared" si="5"/>
        <v>27230000</v>
      </c>
      <c r="T24" s="88">
        <f t="shared" si="6"/>
        <v>34037500</v>
      </c>
    </row>
    <row r="25" spans="1:20" ht="15.5" x14ac:dyDescent="0.35">
      <c r="A25" s="110" t="s">
        <v>49</v>
      </c>
      <c r="B25" s="119" t="s">
        <v>50</v>
      </c>
      <c r="C25" s="112"/>
      <c r="D25" s="113"/>
      <c r="E25" s="115">
        <v>52126400</v>
      </c>
      <c r="F25" s="114">
        <v>0</v>
      </c>
      <c r="G25" s="114">
        <v>0</v>
      </c>
      <c r="H25" s="168">
        <f t="shared" si="11"/>
        <v>2.481582589782807</v>
      </c>
      <c r="I25" s="115">
        <v>3400000</v>
      </c>
      <c r="J25" s="168">
        <f t="shared" si="7"/>
        <v>0.16186386946463871</v>
      </c>
      <c r="K25" s="178">
        <f t="shared" ref="K25" si="12">Q25/E25*100</f>
        <v>16.666666666666668</v>
      </c>
      <c r="L25" s="207">
        <f t="shared" si="8"/>
        <v>0.41359709829713454</v>
      </c>
      <c r="M25" s="116">
        <f t="shared" si="1"/>
        <v>48726400</v>
      </c>
      <c r="N25" s="114"/>
      <c r="O25" s="118"/>
      <c r="P25" s="88">
        <f t="shared" si="2"/>
        <v>4343866.666666667</v>
      </c>
      <c r="Q25" s="88">
        <f t="shared" si="3"/>
        <v>8687733.333333334</v>
      </c>
      <c r="R25" s="88">
        <f t="shared" si="4"/>
        <v>13031600</v>
      </c>
      <c r="S25" s="88">
        <f t="shared" si="5"/>
        <v>17375466.666666668</v>
      </c>
      <c r="T25" s="88">
        <f t="shared" si="6"/>
        <v>21719333.333333336</v>
      </c>
    </row>
    <row r="26" spans="1:20" ht="15.5" x14ac:dyDescent="0.35">
      <c r="A26" s="110" t="s">
        <v>51</v>
      </c>
      <c r="B26" s="119" t="s">
        <v>52</v>
      </c>
      <c r="C26" s="112"/>
      <c r="D26" s="113"/>
      <c r="E26" s="198">
        <v>29158000</v>
      </c>
      <c r="F26" s="114">
        <v>0</v>
      </c>
      <c r="G26" s="116">
        <v>0</v>
      </c>
      <c r="H26" s="168">
        <f t="shared" si="11"/>
        <v>1.3881255017205694</v>
      </c>
      <c r="I26" s="115">
        <v>0</v>
      </c>
      <c r="J26" s="168">
        <f t="shared" si="7"/>
        <v>0</v>
      </c>
      <c r="K26" s="178">
        <v>0</v>
      </c>
      <c r="L26" s="207">
        <f t="shared" si="8"/>
        <v>0</v>
      </c>
      <c r="M26" s="116">
        <f t="shared" si="1"/>
        <v>29158000</v>
      </c>
      <c r="N26" s="114"/>
      <c r="O26" s="118"/>
      <c r="P26" s="88">
        <f t="shared" si="2"/>
        <v>2429833.3333333335</v>
      </c>
      <c r="Q26" s="88">
        <f t="shared" si="3"/>
        <v>4859666.666666667</v>
      </c>
      <c r="R26" s="88">
        <f t="shared" si="4"/>
        <v>7289500</v>
      </c>
      <c r="S26" s="88">
        <f t="shared" si="5"/>
        <v>9719333.333333334</v>
      </c>
      <c r="T26" s="88">
        <f t="shared" si="6"/>
        <v>12149166.666666668</v>
      </c>
    </row>
    <row r="27" spans="1:20" ht="18.75" customHeight="1" x14ac:dyDescent="0.35">
      <c r="A27" s="110" t="s">
        <v>53</v>
      </c>
      <c r="B27" s="119" t="s">
        <v>54</v>
      </c>
      <c r="C27" s="124"/>
      <c r="D27" s="125"/>
      <c r="E27" s="198">
        <v>11825000</v>
      </c>
      <c r="F27" s="114">
        <v>0</v>
      </c>
      <c r="G27" s="116">
        <v>0</v>
      </c>
      <c r="H27" s="168">
        <f t="shared" si="11"/>
        <v>0.56295301659392738</v>
      </c>
      <c r="I27" s="115">
        <v>0</v>
      </c>
      <c r="J27" s="168">
        <f t="shared" si="7"/>
        <v>0</v>
      </c>
      <c r="K27" s="178">
        <v>68</v>
      </c>
      <c r="L27" s="207">
        <f t="shared" si="8"/>
        <v>0.38280805128387058</v>
      </c>
      <c r="M27" s="116">
        <f t="shared" si="1"/>
        <v>11825000</v>
      </c>
      <c r="N27" s="114"/>
      <c r="O27" s="118"/>
      <c r="P27" s="88">
        <f t="shared" si="2"/>
        <v>985416.66666666663</v>
      </c>
      <c r="Q27" s="88">
        <f t="shared" si="3"/>
        <v>1970833.3333333333</v>
      </c>
      <c r="R27" s="88">
        <f t="shared" si="4"/>
        <v>2956250</v>
      </c>
      <c r="S27" s="88">
        <f t="shared" si="5"/>
        <v>3941666.6666666665</v>
      </c>
      <c r="T27" s="88">
        <f t="shared" si="6"/>
        <v>4927083.333333333</v>
      </c>
    </row>
    <row r="28" spans="1:20" ht="18" customHeight="1" x14ac:dyDescent="0.35">
      <c r="A28" s="110" t="s">
        <v>55</v>
      </c>
      <c r="B28" s="119" t="s">
        <v>56</v>
      </c>
      <c r="C28" s="124"/>
      <c r="D28" s="125"/>
      <c r="E28" s="198">
        <v>4050000</v>
      </c>
      <c r="F28" s="114">
        <v>0</v>
      </c>
      <c r="G28" s="116">
        <v>0</v>
      </c>
      <c r="H28" s="168">
        <f t="shared" si="11"/>
        <v>0.19280843274464318</v>
      </c>
      <c r="I28" s="115">
        <v>0</v>
      </c>
      <c r="J28" s="168">
        <f t="shared" si="7"/>
        <v>0</v>
      </c>
      <c r="K28" s="178">
        <v>0</v>
      </c>
      <c r="L28" s="207">
        <f t="shared" si="8"/>
        <v>0</v>
      </c>
      <c r="M28" s="116">
        <f t="shared" si="1"/>
        <v>4050000</v>
      </c>
      <c r="N28" s="114"/>
      <c r="O28" s="118"/>
      <c r="P28" s="88">
        <f t="shared" si="2"/>
        <v>337500</v>
      </c>
      <c r="Q28" s="88">
        <f t="shared" si="3"/>
        <v>675000</v>
      </c>
      <c r="R28" s="88">
        <f t="shared" si="4"/>
        <v>1012500</v>
      </c>
      <c r="S28" s="88">
        <f t="shared" si="5"/>
        <v>1350000</v>
      </c>
      <c r="T28" s="88">
        <f t="shared" si="6"/>
        <v>1687500</v>
      </c>
    </row>
    <row r="29" spans="1:20" ht="17.25" customHeight="1" x14ac:dyDescent="0.35">
      <c r="A29" s="110" t="s">
        <v>57</v>
      </c>
      <c r="B29" s="119" t="s">
        <v>58</v>
      </c>
      <c r="C29" s="124"/>
      <c r="D29" s="125"/>
      <c r="E29" s="198">
        <v>7200000</v>
      </c>
      <c r="F29" s="114">
        <v>0</v>
      </c>
      <c r="G29" s="116">
        <v>0</v>
      </c>
      <c r="H29" s="168">
        <f t="shared" si="11"/>
        <v>0.34277054710158789</v>
      </c>
      <c r="I29" s="115">
        <v>0</v>
      </c>
      <c r="J29" s="168">
        <f t="shared" si="7"/>
        <v>0</v>
      </c>
      <c r="K29" s="178">
        <v>0</v>
      </c>
      <c r="L29" s="207">
        <f t="shared" si="8"/>
        <v>0</v>
      </c>
      <c r="M29" s="116">
        <f t="shared" si="1"/>
        <v>7200000</v>
      </c>
      <c r="N29" s="114"/>
      <c r="O29" s="118"/>
      <c r="P29" s="88">
        <f t="shared" si="2"/>
        <v>600000</v>
      </c>
      <c r="Q29" s="88">
        <f t="shared" si="3"/>
        <v>1200000</v>
      </c>
      <c r="R29" s="88">
        <f t="shared" si="4"/>
        <v>1800000</v>
      </c>
      <c r="S29" s="88">
        <f t="shared" si="5"/>
        <v>2400000</v>
      </c>
      <c r="T29" s="88">
        <f t="shared" si="6"/>
        <v>3000000</v>
      </c>
    </row>
    <row r="30" spans="1:20" ht="17.25" customHeight="1" x14ac:dyDescent="0.35">
      <c r="A30" s="123"/>
      <c r="B30" s="119"/>
      <c r="C30" s="124"/>
      <c r="D30" s="125"/>
      <c r="E30" s="198"/>
      <c r="F30" s="114"/>
      <c r="G30" s="116"/>
      <c r="H30" s="168"/>
      <c r="I30" s="115"/>
      <c r="J30" s="168">
        <f t="shared" si="7"/>
        <v>0</v>
      </c>
      <c r="K30" s="178"/>
      <c r="L30" s="207"/>
      <c r="M30" s="116">
        <f t="shared" si="1"/>
        <v>0</v>
      </c>
      <c r="N30" s="114"/>
      <c r="O30" s="118"/>
      <c r="P30" s="88">
        <f t="shared" si="2"/>
        <v>0</v>
      </c>
      <c r="Q30" s="88">
        <f t="shared" si="3"/>
        <v>0</v>
      </c>
      <c r="R30" s="88">
        <f t="shared" si="4"/>
        <v>0</v>
      </c>
      <c r="S30" s="88">
        <f t="shared" si="5"/>
        <v>0</v>
      </c>
      <c r="T30" s="88">
        <f t="shared" si="6"/>
        <v>0</v>
      </c>
    </row>
    <row r="31" spans="1:20" ht="15.5" x14ac:dyDescent="0.35">
      <c r="A31" s="180" t="s">
        <v>59</v>
      </c>
      <c r="B31" s="342" t="s">
        <v>60</v>
      </c>
      <c r="C31" s="343"/>
      <c r="D31" s="344"/>
      <c r="E31" s="197">
        <f t="shared" ref="E31:N31" si="13">SUM(E32)</f>
        <v>1000000</v>
      </c>
      <c r="F31" s="184">
        <v>0</v>
      </c>
      <c r="G31" s="184">
        <v>0</v>
      </c>
      <c r="H31" s="185">
        <f t="shared" si="13"/>
        <v>4.7607020430776095E-2</v>
      </c>
      <c r="I31" s="195">
        <f t="shared" si="13"/>
        <v>0</v>
      </c>
      <c r="J31" s="187">
        <f t="shared" si="7"/>
        <v>0</v>
      </c>
      <c r="K31" s="195">
        <f t="shared" si="13"/>
        <v>0</v>
      </c>
      <c r="L31" s="195">
        <f t="shared" si="13"/>
        <v>0</v>
      </c>
      <c r="M31" s="185">
        <f>SUM(M32)</f>
        <v>1000000</v>
      </c>
      <c r="N31" s="184">
        <f t="shared" si="13"/>
        <v>0</v>
      </c>
      <c r="O31" s="118"/>
      <c r="P31" s="88">
        <f t="shared" si="2"/>
        <v>83333.333333333328</v>
      </c>
      <c r="Q31" s="88">
        <f t="shared" si="3"/>
        <v>166666.66666666666</v>
      </c>
      <c r="R31" s="88">
        <f t="shared" si="4"/>
        <v>250000</v>
      </c>
      <c r="S31" s="88">
        <f t="shared" si="5"/>
        <v>333333.33333333331</v>
      </c>
      <c r="T31" s="88">
        <f t="shared" si="6"/>
        <v>416666.66666666663</v>
      </c>
    </row>
    <row r="32" spans="1:20" ht="15.5" x14ac:dyDescent="0.35">
      <c r="A32" s="123" t="s">
        <v>61</v>
      </c>
      <c r="B32" s="345" t="s">
        <v>62</v>
      </c>
      <c r="C32" s="346"/>
      <c r="D32" s="347"/>
      <c r="E32" s="198">
        <v>1000000</v>
      </c>
      <c r="F32" s="114">
        <v>0</v>
      </c>
      <c r="G32" s="116">
        <v>0</v>
      </c>
      <c r="H32" s="168">
        <f>E32/$E$86*100</f>
        <v>4.7607020430776095E-2</v>
      </c>
      <c r="I32" s="115">
        <v>0</v>
      </c>
      <c r="J32" s="168">
        <f t="shared" si="7"/>
        <v>0</v>
      </c>
      <c r="K32" s="178">
        <v>0</v>
      </c>
      <c r="L32" s="207">
        <f t="shared" si="8"/>
        <v>0</v>
      </c>
      <c r="M32" s="116">
        <f t="shared" si="1"/>
        <v>1000000</v>
      </c>
      <c r="N32" s="114"/>
      <c r="O32" s="118"/>
      <c r="P32" s="88">
        <f t="shared" si="2"/>
        <v>83333.333333333328</v>
      </c>
      <c r="Q32" s="88">
        <f t="shared" si="3"/>
        <v>166666.66666666666</v>
      </c>
      <c r="R32" s="88">
        <f t="shared" si="4"/>
        <v>250000</v>
      </c>
      <c r="S32" s="88">
        <f t="shared" si="5"/>
        <v>333333.33333333331</v>
      </c>
      <c r="T32" s="88">
        <f t="shared" si="6"/>
        <v>416666.66666666663</v>
      </c>
    </row>
    <row r="33" spans="1:20" ht="15.5" x14ac:dyDescent="0.35">
      <c r="A33" s="123"/>
      <c r="B33" s="120"/>
      <c r="C33" s="121"/>
      <c r="D33" s="122"/>
      <c r="E33" s="198"/>
      <c r="F33" s="114"/>
      <c r="G33" s="116"/>
      <c r="H33" s="168"/>
      <c r="I33" s="115"/>
      <c r="J33" s="168">
        <f t="shared" si="7"/>
        <v>0</v>
      </c>
      <c r="K33" s="178"/>
      <c r="L33" s="207"/>
      <c r="M33" s="116">
        <f t="shared" si="1"/>
        <v>0</v>
      </c>
      <c r="N33" s="114"/>
      <c r="O33" s="118"/>
      <c r="P33" s="88">
        <f t="shared" si="2"/>
        <v>0</v>
      </c>
      <c r="Q33" s="88">
        <f t="shared" si="3"/>
        <v>0</v>
      </c>
      <c r="R33" s="88">
        <f t="shared" si="4"/>
        <v>0</v>
      </c>
      <c r="S33" s="88">
        <f t="shared" si="5"/>
        <v>0</v>
      </c>
      <c r="T33" s="88">
        <f t="shared" si="6"/>
        <v>0</v>
      </c>
    </row>
    <row r="34" spans="1:20" ht="15.5" x14ac:dyDescent="0.35">
      <c r="A34" s="180" t="s">
        <v>63</v>
      </c>
      <c r="B34" s="342" t="s">
        <v>64</v>
      </c>
      <c r="C34" s="343"/>
      <c r="D34" s="344"/>
      <c r="E34" s="197">
        <f t="shared" ref="E34:N34" si="14">E35</f>
        <v>125734000</v>
      </c>
      <c r="F34" s="184">
        <v>0</v>
      </c>
      <c r="G34" s="184">
        <v>0</v>
      </c>
      <c r="H34" s="185">
        <f t="shared" si="14"/>
        <v>5.9858211068432015</v>
      </c>
      <c r="I34" s="195">
        <f t="shared" si="14"/>
        <v>12000000</v>
      </c>
      <c r="J34" s="187"/>
      <c r="K34" s="195">
        <f t="shared" si="14"/>
        <v>16.666666666666668</v>
      </c>
      <c r="L34" s="195">
        <f t="shared" si="14"/>
        <v>0.99763685114053358</v>
      </c>
      <c r="M34" s="185">
        <f t="shared" si="14"/>
        <v>113734000</v>
      </c>
      <c r="N34" s="184">
        <f t="shared" si="14"/>
        <v>0</v>
      </c>
      <c r="O34" s="118"/>
      <c r="P34" s="88">
        <f t="shared" si="2"/>
        <v>10477833.333333334</v>
      </c>
      <c r="Q34" s="88">
        <f t="shared" si="3"/>
        <v>20955666.666666668</v>
      </c>
      <c r="R34" s="88">
        <f t="shared" si="4"/>
        <v>31433500</v>
      </c>
      <c r="S34" s="88">
        <f t="shared" si="5"/>
        <v>41911333.333333336</v>
      </c>
      <c r="T34" s="88">
        <f t="shared" si="6"/>
        <v>52389166.666666672</v>
      </c>
    </row>
    <row r="35" spans="1:20" ht="15.75" customHeight="1" x14ac:dyDescent="0.35">
      <c r="A35" s="123" t="s">
        <v>65</v>
      </c>
      <c r="B35" s="119" t="s">
        <v>66</v>
      </c>
      <c r="C35" s="112"/>
      <c r="D35" s="113"/>
      <c r="E35" s="115">
        <v>125734000</v>
      </c>
      <c r="F35" s="114">
        <v>0</v>
      </c>
      <c r="G35" s="114">
        <v>0</v>
      </c>
      <c r="H35" s="168">
        <f>E35/$E$86*100</f>
        <v>5.9858211068432015</v>
      </c>
      <c r="I35" s="115">
        <v>12000000</v>
      </c>
      <c r="J35" s="168">
        <f t="shared" si="7"/>
        <v>0.5712842451693132</v>
      </c>
      <c r="K35" s="178">
        <f>Q35/E35*100</f>
        <v>16.666666666666668</v>
      </c>
      <c r="L35" s="207">
        <f t="shared" si="8"/>
        <v>0.99763685114053358</v>
      </c>
      <c r="M35" s="116">
        <f t="shared" si="1"/>
        <v>113734000</v>
      </c>
      <c r="N35" s="114"/>
      <c r="O35" s="118"/>
      <c r="P35" s="88">
        <f t="shared" si="2"/>
        <v>10477833.333333334</v>
      </c>
      <c r="Q35" s="88">
        <f t="shared" si="3"/>
        <v>20955666.666666668</v>
      </c>
      <c r="R35" s="88">
        <f t="shared" si="4"/>
        <v>31433500</v>
      </c>
      <c r="S35" s="88">
        <f t="shared" si="5"/>
        <v>41911333.333333336</v>
      </c>
      <c r="T35" s="88">
        <f t="shared" si="6"/>
        <v>52389166.666666672</v>
      </c>
    </row>
    <row r="36" spans="1:20" ht="15.75" customHeight="1" x14ac:dyDescent="0.35">
      <c r="A36" s="123"/>
      <c r="B36" s="119"/>
      <c r="C36" s="112"/>
      <c r="D36" s="113"/>
      <c r="E36" s="115"/>
      <c r="F36" s="114"/>
      <c r="G36" s="114"/>
      <c r="H36" s="168"/>
      <c r="I36" s="115"/>
      <c r="J36" s="168">
        <f t="shared" si="7"/>
        <v>0</v>
      </c>
      <c r="K36" s="178"/>
      <c r="L36" s="207"/>
      <c r="M36" s="116">
        <f t="shared" si="1"/>
        <v>0</v>
      </c>
      <c r="N36" s="114"/>
      <c r="O36" s="118"/>
      <c r="P36" s="88">
        <f t="shared" si="2"/>
        <v>0</v>
      </c>
      <c r="Q36" s="88">
        <f t="shared" si="3"/>
        <v>0</v>
      </c>
      <c r="R36" s="88">
        <f t="shared" si="4"/>
        <v>0</v>
      </c>
      <c r="S36" s="88">
        <f t="shared" si="5"/>
        <v>0</v>
      </c>
      <c r="T36" s="88">
        <f t="shared" si="6"/>
        <v>0</v>
      </c>
    </row>
    <row r="37" spans="1:20" ht="15.5" x14ac:dyDescent="0.35">
      <c r="A37" s="180" t="s">
        <v>67</v>
      </c>
      <c r="B37" s="342" t="s">
        <v>70</v>
      </c>
      <c r="C37" s="343"/>
      <c r="D37" s="344"/>
      <c r="E37" s="197">
        <f>SUM(E38:E39)</f>
        <v>277264000</v>
      </c>
      <c r="F37" s="184">
        <v>0</v>
      </c>
      <c r="G37" s="184">
        <v>0</v>
      </c>
      <c r="H37" s="185">
        <f t="shared" ref="H37:M37" si="15">SUM(H38:H39)</f>
        <v>13.199712912718702</v>
      </c>
      <c r="I37" s="195">
        <f t="shared" si="15"/>
        <v>19200000</v>
      </c>
      <c r="J37" s="187"/>
      <c r="K37" s="195">
        <f>SUM(K38:K39)/2</f>
        <v>8.3333333333333321</v>
      </c>
      <c r="L37" s="195">
        <f t="shared" si="15"/>
        <v>2.0232983683079837</v>
      </c>
      <c r="M37" s="185">
        <f t="shared" si="15"/>
        <v>258064000</v>
      </c>
      <c r="N37" s="184">
        <f t="shared" ref="N37" si="16">SUM(N38:N39)</f>
        <v>0</v>
      </c>
      <c r="O37" s="118"/>
      <c r="P37" s="88">
        <f t="shared" si="2"/>
        <v>23105333.333333332</v>
      </c>
      <c r="Q37" s="88">
        <f t="shared" si="3"/>
        <v>46210666.666666664</v>
      </c>
      <c r="R37" s="88">
        <f t="shared" si="4"/>
        <v>69316000</v>
      </c>
      <c r="S37" s="88">
        <f t="shared" si="5"/>
        <v>92421333.333333328</v>
      </c>
      <c r="T37" s="88">
        <f t="shared" si="6"/>
        <v>115526666.66666666</v>
      </c>
    </row>
    <row r="38" spans="1:20" ht="32.25" customHeight="1" x14ac:dyDescent="0.35">
      <c r="A38" s="123" t="s">
        <v>71</v>
      </c>
      <c r="B38" s="345" t="s">
        <v>72</v>
      </c>
      <c r="C38" s="346"/>
      <c r="D38" s="347"/>
      <c r="E38" s="198">
        <v>255000000</v>
      </c>
      <c r="F38" s="114">
        <v>0</v>
      </c>
      <c r="G38" s="116">
        <v>0</v>
      </c>
      <c r="H38" s="168">
        <f>E38/$E$86*100</f>
        <v>12.139790209847904</v>
      </c>
      <c r="I38" s="115">
        <v>19200000</v>
      </c>
      <c r="J38" s="168">
        <f t="shared" si="7"/>
        <v>0.91405479227090103</v>
      </c>
      <c r="K38" s="178">
        <f>Q38/E38*100</f>
        <v>16.666666666666664</v>
      </c>
      <c r="L38" s="207">
        <f t="shared" si="8"/>
        <v>2.0232983683079837</v>
      </c>
      <c r="M38" s="116">
        <f t="shared" si="1"/>
        <v>235800000</v>
      </c>
      <c r="N38" s="114"/>
      <c r="O38" s="118"/>
      <c r="P38" s="88">
        <f t="shared" si="2"/>
        <v>21250000</v>
      </c>
      <c r="Q38" s="88">
        <f t="shared" si="3"/>
        <v>42500000</v>
      </c>
      <c r="R38" s="88">
        <f t="shared" si="4"/>
        <v>63750000</v>
      </c>
      <c r="S38" s="88">
        <f t="shared" si="5"/>
        <v>85000000</v>
      </c>
      <c r="T38" s="88">
        <f t="shared" si="6"/>
        <v>106250000</v>
      </c>
    </row>
    <row r="39" spans="1:20" ht="33" customHeight="1" x14ac:dyDescent="0.35">
      <c r="A39" s="123" t="s">
        <v>73</v>
      </c>
      <c r="B39" s="345" t="s">
        <v>74</v>
      </c>
      <c r="C39" s="346"/>
      <c r="D39" s="347"/>
      <c r="E39" s="115">
        <v>22264000</v>
      </c>
      <c r="F39" s="114">
        <v>0</v>
      </c>
      <c r="G39" s="114">
        <v>0</v>
      </c>
      <c r="H39" s="168">
        <f>E39/$E$86*100</f>
        <v>1.0599227028707989</v>
      </c>
      <c r="I39" s="115">
        <v>0</v>
      </c>
      <c r="J39" s="168">
        <f t="shared" si="7"/>
        <v>0</v>
      </c>
      <c r="K39" s="178">
        <v>0</v>
      </c>
      <c r="L39" s="207">
        <f t="shared" si="8"/>
        <v>0</v>
      </c>
      <c r="M39" s="116">
        <f t="shared" si="1"/>
        <v>22264000</v>
      </c>
      <c r="N39" s="114"/>
      <c r="O39" s="118"/>
      <c r="P39" s="88">
        <f t="shared" si="2"/>
        <v>1855333.3333333333</v>
      </c>
      <c r="Q39" s="88">
        <f t="shared" si="3"/>
        <v>3710666.6666666665</v>
      </c>
      <c r="R39" s="88">
        <f t="shared" si="4"/>
        <v>5566000</v>
      </c>
      <c r="S39" s="88">
        <f t="shared" si="5"/>
        <v>7421333.333333333</v>
      </c>
      <c r="T39" s="88">
        <f t="shared" si="6"/>
        <v>9276666.666666666</v>
      </c>
    </row>
    <row r="40" spans="1:20" ht="15.5" x14ac:dyDescent="0.35">
      <c r="A40" s="123"/>
      <c r="B40" s="120"/>
      <c r="C40" s="121"/>
      <c r="D40" s="122"/>
      <c r="E40" s="115"/>
      <c r="F40" s="114"/>
      <c r="G40" s="114"/>
      <c r="H40" s="168"/>
      <c r="I40" s="115"/>
      <c r="J40" s="168">
        <f t="shared" si="7"/>
        <v>0</v>
      </c>
      <c r="K40" s="178"/>
      <c r="L40" s="207"/>
      <c r="M40" s="116">
        <f t="shared" si="1"/>
        <v>0</v>
      </c>
      <c r="N40" s="114"/>
      <c r="O40" s="118"/>
      <c r="P40" s="88">
        <f t="shared" si="2"/>
        <v>0</v>
      </c>
      <c r="Q40" s="88">
        <f t="shared" si="3"/>
        <v>0</v>
      </c>
      <c r="R40" s="88">
        <f t="shared" si="4"/>
        <v>0</v>
      </c>
      <c r="S40" s="88">
        <f t="shared" si="5"/>
        <v>0</v>
      </c>
      <c r="T40" s="88">
        <f t="shared" si="6"/>
        <v>0</v>
      </c>
    </row>
    <row r="41" spans="1:20" ht="31" x14ac:dyDescent="0.35">
      <c r="A41" s="180" t="s">
        <v>75</v>
      </c>
      <c r="B41" s="189" t="s">
        <v>76</v>
      </c>
      <c r="C41" s="190"/>
      <c r="D41" s="191"/>
      <c r="E41" s="197">
        <f>SUM(E42:E43)</f>
        <v>81435000</v>
      </c>
      <c r="F41" s="184">
        <v>0</v>
      </c>
      <c r="G41" s="184">
        <v>0</v>
      </c>
      <c r="H41" s="185">
        <f t="shared" ref="H41:M41" si="17">SUM(H42:H43)</f>
        <v>3.8768777087802517</v>
      </c>
      <c r="I41" s="195">
        <f t="shared" si="17"/>
        <v>0</v>
      </c>
      <c r="J41" s="187">
        <f t="shared" si="7"/>
        <v>0</v>
      </c>
      <c r="K41" s="195">
        <f>SUM(K42:K43)/2</f>
        <v>37.5</v>
      </c>
      <c r="L41" s="195">
        <f t="shared" si="17"/>
        <v>1.3906605755585084</v>
      </c>
      <c r="M41" s="185">
        <f t="shared" si="17"/>
        <v>81435000</v>
      </c>
      <c r="N41" s="184">
        <f t="shared" ref="N41" si="18">SUM(N42:N43)</f>
        <v>0</v>
      </c>
      <c r="O41" s="118"/>
      <c r="P41" s="88">
        <f t="shared" si="2"/>
        <v>6786250</v>
      </c>
      <c r="Q41" s="88">
        <f t="shared" si="3"/>
        <v>13572500</v>
      </c>
      <c r="R41" s="88">
        <f t="shared" si="4"/>
        <v>20358750</v>
      </c>
      <c r="S41" s="88">
        <f t="shared" si="5"/>
        <v>27145000</v>
      </c>
      <c r="T41" s="88">
        <f t="shared" si="6"/>
        <v>33931250</v>
      </c>
    </row>
    <row r="42" spans="1:20" ht="15.5" x14ac:dyDescent="0.35">
      <c r="A42" s="123" t="s">
        <v>77</v>
      </c>
      <c r="B42" s="119" t="s">
        <v>78</v>
      </c>
      <c r="C42" s="107"/>
      <c r="D42" s="108"/>
      <c r="E42" s="115">
        <v>38305000</v>
      </c>
      <c r="F42" s="114">
        <v>0</v>
      </c>
      <c r="G42" s="114">
        <v>0</v>
      </c>
      <c r="H42" s="168">
        <f>E42/$E$86*100</f>
        <v>1.8235869176008783</v>
      </c>
      <c r="I42" s="115">
        <v>0</v>
      </c>
      <c r="J42" s="168">
        <f t="shared" si="7"/>
        <v>0</v>
      </c>
      <c r="K42" s="178">
        <v>65</v>
      </c>
      <c r="L42" s="207">
        <f t="shared" si="8"/>
        <v>1.185331496440571</v>
      </c>
      <c r="M42" s="116">
        <f t="shared" si="1"/>
        <v>38305000</v>
      </c>
      <c r="N42" s="114"/>
      <c r="O42" s="118"/>
      <c r="P42" s="88">
        <f t="shared" si="2"/>
        <v>3192083.3333333335</v>
      </c>
      <c r="Q42" s="88">
        <f t="shared" si="3"/>
        <v>6384166.666666667</v>
      </c>
      <c r="R42" s="88">
        <f t="shared" si="4"/>
        <v>9576250</v>
      </c>
      <c r="S42" s="88">
        <f t="shared" si="5"/>
        <v>12768333.333333334</v>
      </c>
      <c r="T42" s="88">
        <f t="shared" si="6"/>
        <v>15960416.666666668</v>
      </c>
    </row>
    <row r="43" spans="1:20" ht="15.5" x14ac:dyDescent="0.35">
      <c r="A43" s="123" t="s">
        <v>79</v>
      </c>
      <c r="B43" s="119" t="s">
        <v>80</v>
      </c>
      <c r="C43" s="107"/>
      <c r="D43" s="108"/>
      <c r="E43" s="115">
        <v>43130000</v>
      </c>
      <c r="F43" s="114">
        <v>0</v>
      </c>
      <c r="G43" s="114">
        <v>0</v>
      </c>
      <c r="H43" s="168">
        <f>E43/$E$86*100</f>
        <v>2.0532907911793732</v>
      </c>
      <c r="I43" s="115">
        <v>0</v>
      </c>
      <c r="J43" s="168">
        <f t="shared" si="7"/>
        <v>0</v>
      </c>
      <c r="K43" s="178">
        <v>10</v>
      </c>
      <c r="L43" s="207">
        <f t="shared" si="8"/>
        <v>0.20532907911793732</v>
      </c>
      <c r="M43" s="116">
        <f t="shared" si="1"/>
        <v>43130000</v>
      </c>
      <c r="N43" s="114"/>
      <c r="O43" s="118"/>
      <c r="P43" s="88">
        <f t="shared" si="2"/>
        <v>3594166.6666666665</v>
      </c>
      <c r="Q43" s="88">
        <f t="shared" si="3"/>
        <v>7188333.333333333</v>
      </c>
      <c r="R43" s="88">
        <f t="shared" si="4"/>
        <v>10782500</v>
      </c>
      <c r="S43" s="88">
        <f t="shared" si="5"/>
        <v>14376666.666666666</v>
      </c>
      <c r="T43" s="88">
        <f t="shared" si="6"/>
        <v>17970833.333333332</v>
      </c>
    </row>
    <row r="44" spans="1:20" ht="15.5" x14ac:dyDescent="0.35">
      <c r="A44" s="123"/>
      <c r="B44" s="119"/>
      <c r="C44" s="107"/>
      <c r="D44" s="108"/>
      <c r="E44" s="115"/>
      <c r="F44" s="114"/>
      <c r="G44" s="114"/>
      <c r="H44" s="168"/>
      <c r="I44" s="115"/>
      <c r="J44" s="168">
        <f t="shared" si="7"/>
        <v>0</v>
      </c>
      <c r="K44" s="178"/>
      <c r="L44" s="207"/>
      <c r="M44" s="116">
        <f t="shared" si="1"/>
        <v>0</v>
      </c>
      <c r="N44" s="114"/>
      <c r="O44" s="118"/>
      <c r="P44" s="88">
        <f t="shared" si="2"/>
        <v>0</v>
      </c>
      <c r="Q44" s="88">
        <f t="shared" si="3"/>
        <v>0</v>
      </c>
      <c r="R44" s="88">
        <f t="shared" si="4"/>
        <v>0</v>
      </c>
      <c r="S44" s="88">
        <f t="shared" si="5"/>
        <v>0</v>
      </c>
      <c r="T44" s="88">
        <f t="shared" si="6"/>
        <v>0</v>
      </c>
    </row>
    <row r="45" spans="1:20" ht="34.5" customHeight="1" x14ac:dyDescent="0.35">
      <c r="A45" s="180" t="s">
        <v>85</v>
      </c>
      <c r="B45" s="342" t="s">
        <v>86</v>
      </c>
      <c r="C45" s="343"/>
      <c r="D45" s="344"/>
      <c r="E45" s="197">
        <f>SUM(E46:E50)</f>
        <v>162391850</v>
      </c>
      <c r="F45" s="184">
        <f>SUM(F47:F49)</f>
        <v>0</v>
      </c>
      <c r="G45" s="184">
        <f>SUM(G47:G49)</f>
        <v>0</v>
      </c>
      <c r="H45" s="185">
        <f t="shared" ref="H45:M45" si="19">SUM(H46:H50)</f>
        <v>7.7309921207415275</v>
      </c>
      <c r="I45" s="195">
        <f t="shared" si="19"/>
        <v>3600000</v>
      </c>
      <c r="J45" s="187">
        <f t="shared" si="7"/>
        <v>0.17138527355079394</v>
      </c>
      <c r="K45" s="195">
        <f>SUM(K46:K50)/5</f>
        <v>15.666666666666668</v>
      </c>
      <c r="L45" s="195">
        <f t="shared" si="19"/>
        <v>1.353508810592154</v>
      </c>
      <c r="M45" s="185">
        <f t="shared" si="19"/>
        <v>158791850</v>
      </c>
      <c r="N45" s="184">
        <f>SUM(N47:N49)</f>
        <v>0</v>
      </c>
      <c r="O45" s="118"/>
      <c r="P45" s="88">
        <f t="shared" si="2"/>
        <v>13532654.166666666</v>
      </c>
      <c r="Q45" s="88">
        <f t="shared" si="3"/>
        <v>27065308.333333332</v>
      </c>
      <c r="R45" s="88">
        <f t="shared" si="4"/>
        <v>40597962.5</v>
      </c>
      <c r="S45" s="88">
        <f t="shared" si="5"/>
        <v>54130616.666666664</v>
      </c>
      <c r="T45" s="88">
        <f t="shared" si="6"/>
        <v>67663270.833333328</v>
      </c>
    </row>
    <row r="46" spans="1:20" ht="33" customHeight="1" x14ac:dyDescent="0.35">
      <c r="A46" s="123" t="s">
        <v>87</v>
      </c>
      <c r="B46" s="120" t="s">
        <v>161</v>
      </c>
      <c r="C46" s="126"/>
      <c r="D46" s="127"/>
      <c r="E46" s="198">
        <v>16588000</v>
      </c>
      <c r="F46" s="109">
        <v>0</v>
      </c>
      <c r="G46" s="116">
        <v>0</v>
      </c>
      <c r="H46" s="168">
        <f>E46/$E$86*100</f>
        <v>0.78970525490571386</v>
      </c>
      <c r="I46" s="115">
        <v>0</v>
      </c>
      <c r="J46" s="168">
        <f t="shared" si="7"/>
        <v>0</v>
      </c>
      <c r="K46" s="178">
        <v>0</v>
      </c>
      <c r="L46" s="207">
        <f t="shared" ref="L46:L49" si="20">K46*H46/100</f>
        <v>0</v>
      </c>
      <c r="M46" s="116">
        <f t="shared" si="1"/>
        <v>16588000</v>
      </c>
      <c r="N46" s="114"/>
      <c r="O46" s="118"/>
      <c r="P46" s="88">
        <f t="shared" si="2"/>
        <v>1382333.3333333333</v>
      </c>
      <c r="Q46" s="88">
        <f t="shared" si="3"/>
        <v>2764666.6666666665</v>
      </c>
      <c r="R46" s="88">
        <f t="shared" si="4"/>
        <v>4147000</v>
      </c>
      <c r="S46" s="88">
        <f t="shared" si="5"/>
        <v>5529333.333333333</v>
      </c>
      <c r="T46" s="88">
        <f t="shared" si="6"/>
        <v>6911666.666666666</v>
      </c>
    </row>
    <row r="47" spans="1:20" ht="15.5" x14ac:dyDescent="0.35">
      <c r="A47" s="123" t="s">
        <v>89</v>
      </c>
      <c r="B47" s="119" t="s">
        <v>90</v>
      </c>
      <c r="C47" s="124"/>
      <c r="D47" s="125"/>
      <c r="E47" s="198">
        <v>22900000</v>
      </c>
      <c r="F47" s="114">
        <v>0</v>
      </c>
      <c r="G47" s="116">
        <v>0</v>
      </c>
      <c r="H47" s="168">
        <f>E47/$E$86*100</f>
        <v>1.0902007678647727</v>
      </c>
      <c r="I47" s="115">
        <v>0</v>
      </c>
      <c r="J47" s="168">
        <f t="shared" si="7"/>
        <v>0</v>
      </c>
      <c r="K47" s="178">
        <v>0</v>
      </c>
      <c r="L47" s="207">
        <f t="shared" si="20"/>
        <v>0</v>
      </c>
      <c r="M47" s="116">
        <f t="shared" si="1"/>
        <v>22900000</v>
      </c>
      <c r="N47" s="114"/>
      <c r="O47" s="118"/>
      <c r="P47" s="88">
        <f t="shared" si="2"/>
        <v>1908333.3333333333</v>
      </c>
      <c r="Q47" s="88">
        <f t="shared" si="3"/>
        <v>3816666.6666666665</v>
      </c>
      <c r="R47" s="88">
        <f t="shared" si="4"/>
        <v>5725000</v>
      </c>
      <c r="S47" s="88">
        <f t="shared" si="5"/>
        <v>7633333.333333333</v>
      </c>
      <c r="T47" s="88">
        <f t="shared" si="6"/>
        <v>9541666.666666666</v>
      </c>
    </row>
    <row r="48" spans="1:20" ht="15.5" x14ac:dyDescent="0.35">
      <c r="A48" s="123" t="s">
        <v>91</v>
      </c>
      <c r="B48" s="119" t="s">
        <v>88</v>
      </c>
      <c r="C48" s="107"/>
      <c r="D48" s="108"/>
      <c r="E48" s="115">
        <v>25300000</v>
      </c>
      <c r="F48" s="114">
        <v>0</v>
      </c>
      <c r="G48" s="114">
        <v>0</v>
      </c>
      <c r="H48" s="168">
        <f>E48/$E$86*100</f>
        <v>1.2044576168986352</v>
      </c>
      <c r="I48" s="115">
        <v>0</v>
      </c>
      <c r="J48" s="168">
        <f t="shared" si="7"/>
        <v>0</v>
      </c>
      <c r="K48" s="178">
        <f t="shared" ref="K48:K50" si="21">Q48/E48*100</f>
        <v>16.666666666666668</v>
      </c>
      <c r="L48" s="207">
        <f>K48*H48/100</f>
        <v>0.20074293614977254</v>
      </c>
      <c r="M48" s="116">
        <f t="shared" si="1"/>
        <v>25300000</v>
      </c>
      <c r="N48" s="114"/>
      <c r="O48" s="118"/>
      <c r="P48" s="88">
        <f t="shared" si="2"/>
        <v>2108333.3333333335</v>
      </c>
      <c r="Q48" s="88">
        <f t="shared" si="3"/>
        <v>4216666.666666667</v>
      </c>
      <c r="R48" s="88">
        <f t="shared" si="4"/>
        <v>6325000</v>
      </c>
      <c r="S48" s="88">
        <f t="shared" si="5"/>
        <v>8433333.333333334</v>
      </c>
      <c r="T48" s="88">
        <f t="shared" si="6"/>
        <v>10541666.666666668</v>
      </c>
    </row>
    <row r="49" spans="1:21" ht="15.5" x14ac:dyDescent="0.35">
      <c r="A49" s="123" t="s">
        <v>93</v>
      </c>
      <c r="B49" s="345" t="s">
        <v>94</v>
      </c>
      <c r="C49" s="346"/>
      <c r="D49" s="347"/>
      <c r="E49" s="198">
        <v>28047850</v>
      </c>
      <c r="F49" s="114">
        <v>0</v>
      </c>
      <c r="G49" s="116">
        <v>0</v>
      </c>
      <c r="H49" s="168">
        <f>E49/$E$86*100</f>
        <v>1.3352745679893432</v>
      </c>
      <c r="I49" s="115">
        <v>0</v>
      </c>
      <c r="J49" s="168">
        <f t="shared" si="7"/>
        <v>0</v>
      </c>
      <c r="K49" s="178">
        <v>45</v>
      </c>
      <c r="L49" s="207">
        <f t="shared" si="20"/>
        <v>0.6008735555952045</v>
      </c>
      <c r="M49" s="116">
        <f t="shared" si="1"/>
        <v>28047850</v>
      </c>
      <c r="N49" s="114"/>
      <c r="O49" s="118"/>
      <c r="P49" s="88">
        <f t="shared" si="2"/>
        <v>2337320.8333333335</v>
      </c>
      <c r="Q49" s="88">
        <f t="shared" si="3"/>
        <v>4674641.666666667</v>
      </c>
      <c r="R49" s="88">
        <f t="shared" si="4"/>
        <v>7011962.5</v>
      </c>
      <c r="S49" s="88">
        <f t="shared" si="5"/>
        <v>9349283.333333334</v>
      </c>
      <c r="T49" s="88">
        <f t="shared" si="6"/>
        <v>11686604.166666668</v>
      </c>
    </row>
    <row r="50" spans="1:21" ht="15.5" x14ac:dyDescent="0.35">
      <c r="A50" s="123" t="s">
        <v>162</v>
      </c>
      <c r="B50" s="119" t="s">
        <v>92</v>
      </c>
      <c r="C50" s="124"/>
      <c r="D50" s="125"/>
      <c r="E50" s="198">
        <v>69556000</v>
      </c>
      <c r="F50" s="114">
        <v>0</v>
      </c>
      <c r="G50" s="116">
        <v>0</v>
      </c>
      <c r="H50" s="168">
        <f>E50/$E$86*100</f>
        <v>3.311353913083062</v>
      </c>
      <c r="I50" s="115">
        <v>3600000</v>
      </c>
      <c r="J50" s="168">
        <f t="shared" si="7"/>
        <v>0.17138527355079394</v>
      </c>
      <c r="K50" s="178">
        <f t="shared" si="21"/>
        <v>16.666666666666664</v>
      </c>
      <c r="L50" s="207">
        <f>K50*H50/100</f>
        <v>0.55189231884717693</v>
      </c>
      <c r="M50" s="116">
        <f t="shared" si="1"/>
        <v>65956000</v>
      </c>
      <c r="N50" s="114"/>
      <c r="O50" s="118"/>
      <c r="P50" s="88">
        <f t="shared" si="2"/>
        <v>5796333.333333333</v>
      </c>
      <c r="Q50" s="88">
        <f t="shared" si="3"/>
        <v>11592666.666666666</v>
      </c>
      <c r="R50" s="88">
        <f t="shared" si="4"/>
        <v>17389000</v>
      </c>
      <c r="S50" s="88">
        <f t="shared" si="5"/>
        <v>23185333.333333332</v>
      </c>
      <c r="T50" s="88">
        <f t="shared" si="6"/>
        <v>28981666.666666664</v>
      </c>
    </row>
    <row r="51" spans="1:21" ht="15.5" x14ac:dyDescent="0.35">
      <c r="A51" s="123"/>
      <c r="B51" s="120"/>
      <c r="C51" s="121"/>
      <c r="D51" s="122"/>
      <c r="E51" s="198"/>
      <c r="F51" s="114"/>
      <c r="G51" s="116"/>
      <c r="H51" s="168"/>
      <c r="I51" s="115"/>
      <c r="J51" s="168">
        <f t="shared" si="7"/>
        <v>0</v>
      </c>
      <c r="K51" s="178"/>
      <c r="L51" s="207"/>
      <c r="M51" s="116">
        <f t="shared" si="1"/>
        <v>0</v>
      </c>
      <c r="N51" s="114"/>
      <c r="O51" s="118"/>
      <c r="P51" s="88">
        <f t="shared" si="2"/>
        <v>0</v>
      </c>
      <c r="Q51" s="88">
        <f t="shared" si="3"/>
        <v>0</v>
      </c>
      <c r="R51" s="88">
        <f t="shared" si="4"/>
        <v>0</v>
      </c>
      <c r="S51" s="88">
        <f t="shared" si="5"/>
        <v>0</v>
      </c>
      <c r="T51" s="88">
        <f t="shared" si="6"/>
        <v>0</v>
      </c>
    </row>
    <row r="52" spans="1:21" ht="15.5" x14ac:dyDescent="0.35">
      <c r="A52" s="180" t="s">
        <v>95</v>
      </c>
      <c r="B52" s="189" t="s">
        <v>96</v>
      </c>
      <c r="C52" s="182"/>
      <c r="D52" s="183"/>
      <c r="E52" s="197">
        <f>SUM(E53:E54)</f>
        <v>20000000</v>
      </c>
      <c r="F52" s="184">
        <f>SUM(F53:F54)</f>
        <v>0</v>
      </c>
      <c r="G52" s="184">
        <f>SUM(G53:G54)</f>
        <v>0</v>
      </c>
      <c r="H52" s="185">
        <f t="shared" ref="H52:M52" si="22">SUM(H53:H54)</f>
        <v>0.95214040861552185</v>
      </c>
      <c r="I52" s="195">
        <f t="shared" si="22"/>
        <v>0</v>
      </c>
      <c r="J52" s="187">
        <f t="shared" si="7"/>
        <v>0</v>
      </c>
      <c r="K52" s="195">
        <f>SUM(K53:K54)/2</f>
        <v>0</v>
      </c>
      <c r="L52" s="195">
        <f t="shared" si="22"/>
        <v>0</v>
      </c>
      <c r="M52" s="185">
        <f t="shared" si="22"/>
        <v>20000000</v>
      </c>
      <c r="N52" s="184">
        <f>SUM(N53:N54)</f>
        <v>0</v>
      </c>
      <c r="O52" s="118"/>
      <c r="P52" s="88">
        <f t="shared" si="2"/>
        <v>1666666.6666666667</v>
      </c>
      <c r="Q52" s="88">
        <f t="shared" si="3"/>
        <v>3333333.3333333335</v>
      </c>
      <c r="R52" s="88">
        <f t="shared" si="4"/>
        <v>5000000</v>
      </c>
      <c r="S52" s="88">
        <f t="shared" si="5"/>
        <v>6666666.666666667</v>
      </c>
      <c r="T52" s="88">
        <f t="shared" si="6"/>
        <v>8333333.333333334</v>
      </c>
    </row>
    <row r="53" spans="1:21" ht="15.5" x14ac:dyDescent="0.35">
      <c r="A53" s="123" t="s">
        <v>97</v>
      </c>
      <c r="B53" s="119" t="s">
        <v>98</v>
      </c>
      <c r="C53" s="107"/>
      <c r="D53" s="108"/>
      <c r="E53" s="198">
        <v>10000000</v>
      </c>
      <c r="F53" s="114">
        <v>0</v>
      </c>
      <c r="G53" s="116">
        <v>0</v>
      </c>
      <c r="H53" s="168">
        <f>E53/$E$86*100</f>
        <v>0.47607020430776092</v>
      </c>
      <c r="I53" s="115">
        <v>0</v>
      </c>
      <c r="J53" s="168">
        <f t="shared" si="7"/>
        <v>0</v>
      </c>
      <c r="K53" s="178">
        <v>0</v>
      </c>
      <c r="L53" s="207">
        <f t="shared" ref="L53:L54" si="23">K53*H53/100</f>
        <v>0</v>
      </c>
      <c r="M53" s="116">
        <f t="shared" si="1"/>
        <v>10000000</v>
      </c>
      <c r="N53" s="114"/>
      <c r="O53" s="118"/>
      <c r="P53" s="88">
        <f t="shared" si="2"/>
        <v>833333.33333333337</v>
      </c>
      <c r="Q53" s="88">
        <f t="shared" si="3"/>
        <v>1666666.6666666667</v>
      </c>
      <c r="R53" s="88">
        <f t="shared" si="4"/>
        <v>2500000</v>
      </c>
      <c r="S53" s="88">
        <f t="shared" si="5"/>
        <v>3333333.3333333335</v>
      </c>
      <c r="T53" s="88">
        <f t="shared" si="6"/>
        <v>4166666.666666667</v>
      </c>
    </row>
    <row r="54" spans="1:21" ht="15.5" x14ac:dyDescent="0.35">
      <c r="A54" s="123" t="s">
        <v>99</v>
      </c>
      <c r="B54" s="119" t="s">
        <v>100</v>
      </c>
      <c r="C54" s="107"/>
      <c r="D54" s="108"/>
      <c r="E54" s="198">
        <v>10000000</v>
      </c>
      <c r="F54" s="114">
        <v>0</v>
      </c>
      <c r="G54" s="116">
        <v>0</v>
      </c>
      <c r="H54" s="168">
        <f>E54/$E$86*100</f>
        <v>0.47607020430776092</v>
      </c>
      <c r="I54" s="115">
        <v>0</v>
      </c>
      <c r="J54" s="168">
        <f t="shared" si="7"/>
        <v>0</v>
      </c>
      <c r="K54" s="178">
        <v>0</v>
      </c>
      <c r="L54" s="207">
        <f t="shared" si="23"/>
        <v>0</v>
      </c>
      <c r="M54" s="116">
        <f t="shared" si="1"/>
        <v>10000000</v>
      </c>
      <c r="N54" s="114"/>
      <c r="O54" s="118"/>
      <c r="P54" s="88">
        <f t="shared" si="2"/>
        <v>833333.33333333337</v>
      </c>
      <c r="Q54" s="88">
        <f t="shared" si="3"/>
        <v>1666666.6666666667</v>
      </c>
      <c r="R54" s="88">
        <f t="shared" si="4"/>
        <v>2500000</v>
      </c>
      <c r="S54" s="88">
        <f t="shared" si="5"/>
        <v>3333333.3333333335</v>
      </c>
      <c r="T54" s="88">
        <f t="shared" si="6"/>
        <v>4166666.666666667</v>
      </c>
    </row>
    <row r="55" spans="1:21" ht="15.5" x14ac:dyDescent="0.35">
      <c r="A55" s="123"/>
      <c r="B55" s="119"/>
      <c r="C55" s="112"/>
      <c r="D55" s="113"/>
      <c r="E55" s="115"/>
      <c r="F55" s="114"/>
      <c r="G55" s="114"/>
      <c r="H55" s="168"/>
      <c r="I55" s="115"/>
      <c r="J55" s="168">
        <f t="shared" si="7"/>
        <v>0</v>
      </c>
      <c r="K55" s="178"/>
      <c r="L55" s="207"/>
      <c r="M55" s="116">
        <f t="shared" si="1"/>
        <v>0</v>
      </c>
      <c r="N55" s="114"/>
      <c r="O55" s="118"/>
      <c r="P55" s="88">
        <f t="shared" si="2"/>
        <v>0</v>
      </c>
      <c r="Q55" s="88">
        <f t="shared" si="3"/>
        <v>0</v>
      </c>
      <c r="R55" s="88">
        <f t="shared" si="4"/>
        <v>0</v>
      </c>
      <c r="S55" s="88">
        <f t="shared" si="5"/>
        <v>0</v>
      </c>
      <c r="T55" s="88">
        <f t="shared" si="6"/>
        <v>0</v>
      </c>
    </row>
    <row r="56" spans="1:21" ht="17.25" customHeight="1" x14ac:dyDescent="0.35">
      <c r="A56" s="180" t="s">
        <v>103</v>
      </c>
      <c r="B56" s="342" t="s">
        <v>104</v>
      </c>
      <c r="C56" s="343"/>
      <c r="D56" s="344"/>
      <c r="E56" s="199">
        <f t="shared" ref="E56:N56" si="24">SUM(E57)</f>
        <v>61200000</v>
      </c>
      <c r="F56" s="192">
        <f t="shared" si="24"/>
        <v>0</v>
      </c>
      <c r="G56" s="192">
        <f t="shared" si="24"/>
        <v>0</v>
      </c>
      <c r="H56" s="193">
        <f t="shared" si="24"/>
        <v>2.913549650363497</v>
      </c>
      <c r="I56" s="205">
        <f t="shared" si="24"/>
        <v>1800000</v>
      </c>
      <c r="J56" s="187"/>
      <c r="K56" s="205">
        <f t="shared" si="24"/>
        <v>8.5692636775396971E-2</v>
      </c>
      <c r="L56" s="205">
        <f t="shared" si="24"/>
        <v>2.4966975191568399E-3</v>
      </c>
      <c r="M56" s="193">
        <f t="shared" si="24"/>
        <v>59400000</v>
      </c>
      <c r="N56" s="192">
        <f t="shared" si="24"/>
        <v>0</v>
      </c>
      <c r="O56" s="118"/>
      <c r="P56" s="88">
        <f t="shared" si="2"/>
        <v>5100000</v>
      </c>
      <c r="Q56" s="88">
        <f t="shared" si="3"/>
        <v>10200000</v>
      </c>
      <c r="R56" s="88">
        <f t="shared" si="4"/>
        <v>15300000</v>
      </c>
      <c r="S56" s="88">
        <f t="shared" si="5"/>
        <v>20400000</v>
      </c>
      <c r="T56" s="88">
        <f t="shared" si="6"/>
        <v>25500000</v>
      </c>
      <c r="U56" s="88" t="s">
        <v>150</v>
      </c>
    </row>
    <row r="57" spans="1:21" ht="15.5" x14ac:dyDescent="0.35">
      <c r="A57" s="123" t="s">
        <v>105</v>
      </c>
      <c r="B57" s="119" t="s">
        <v>106</v>
      </c>
      <c r="C57" s="124"/>
      <c r="D57" s="125"/>
      <c r="E57" s="198">
        <v>61200000</v>
      </c>
      <c r="F57" s="114">
        <v>0</v>
      </c>
      <c r="G57" s="116"/>
      <c r="H57" s="168">
        <f>E57/$E$86*100</f>
        <v>2.913549650363497</v>
      </c>
      <c r="I57" s="115">
        <v>1800000</v>
      </c>
      <c r="J57" s="168">
        <f t="shared" si="7"/>
        <v>8.5692636775396971E-2</v>
      </c>
      <c r="K57" s="178">
        <f>J57</f>
        <v>8.5692636775396971E-2</v>
      </c>
      <c r="L57" s="207">
        <f t="shared" ref="L57" si="25">K57*H57/100</f>
        <v>2.4966975191568399E-3</v>
      </c>
      <c r="M57" s="116">
        <f t="shared" si="1"/>
        <v>59400000</v>
      </c>
      <c r="N57" s="114"/>
      <c r="O57" s="118"/>
      <c r="P57" s="88">
        <f t="shared" si="2"/>
        <v>5100000</v>
      </c>
      <c r="Q57" s="88">
        <f t="shared" si="3"/>
        <v>10200000</v>
      </c>
      <c r="R57" s="88">
        <f t="shared" si="4"/>
        <v>15300000</v>
      </c>
      <c r="S57" s="88">
        <f t="shared" si="5"/>
        <v>20400000</v>
      </c>
      <c r="T57" s="88">
        <f t="shared" si="6"/>
        <v>25500000</v>
      </c>
    </row>
    <row r="58" spans="1:21" ht="15.5" x14ac:dyDescent="0.35">
      <c r="A58" s="123"/>
      <c r="B58" s="119"/>
      <c r="C58" s="124"/>
      <c r="D58" s="125"/>
      <c r="E58" s="198"/>
      <c r="F58" s="114"/>
      <c r="G58" s="116"/>
      <c r="H58" s="168"/>
      <c r="I58" s="115"/>
      <c r="J58" s="168">
        <f t="shared" si="7"/>
        <v>0</v>
      </c>
      <c r="K58" s="178"/>
      <c r="L58" s="207"/>
      <c r="M58" s="116">
        <f t="shared" si="1"/>
        <v>0</v>
      </c>
      <c r="N58" s="114"/>
      <c r="O58" s="118"/>
      <c r="P58" s="88">
        <f t="shared" si="2"/>
        <v>0</v>
      </c>
      <c r="Q58" s="88">
        <f t="shared" si="3"/>
        <v>0</v>
      </c>
      <c r="R58" s="88">
        <f t="shared" si="4"/>
        <v>0</v>
      </c>
      <c r="S58" s="88">
        <f t="shared" si="5"/>
        <v>0</v>
      </c>
      <c r="T58" s="88">
        <f t="shared" si="6"/>
        <v>0</v>
      </c>
    </row>
    <row r="59" spans="1:21" ht="31.5" customHeight="1" x14ac:dyDescent="0.35">
      <c r="A59" s="180" t="s">
        <v>115</v>
      </c>
      <c r="B59" s="342" t="s">
        <v>116</v>
      </c>
      <c r="C59" s="343"/>
      <c r="D59" s="344"/>
      <c r="E59" s="197">
        <f t="shared" ref="E59:N59" si="26">E60</f>
        <v>151914500</v>
      </c>
      <c r="F59" s="184">
        <f t="shared" si="26"/>
        <v>0</v>
      </c>
      <c r="G59" s="184">
        <f t="shared" si="26"/>
        <v>0</v>
      </c>
      <c r="H59" s="185">
        <f t="shared" si="26"/>
        <v>7.2321967052311349</v>
      </c>
      <c r="I59" s="195">
        <f t="shared" si="26"/>
        <v>0</v>
      </c>
      <c r="J59" s="187">
        <f t="shared" si="7"/>
        <v>0</v>
      </c>
      <c r="K59" s="195">
        <f t="shared" si="26"/>
        <v>16.666666666666664</v>
      </c>
      <c r="L59" s="195">
        <f t="shared" si="26"/>
        <v>1.2053661175385222</v>
      </c>
      <c r="M59" s="185">
        <f t="shared" si="26"/>
        <v>151914500</v>
      </c>
      <c r="N59" s="184">
        <f t="shared" si="26"/>
        <v>0</v>
      </c>
      <c r="O59" s="118"/>
      <c r="P59" s="88">
        <f t="shared" si="2"/>
        <v>12659541.666666666</v>
      </c>
      <c r="Q59" s="88">
        <f t="shared" si="3"/>
        <v>25319083.333333332</v>
      </c>
      <c r="R59" s="88">
        <f t="shared" si="4"/>
        <v>37978625</v>
      </c>
      <c r="S59" s="88">
        <f t="shared" si="5"/>
        <v>50638166.666666664</v>
      </c>
      <c r="T59" s="88">
        <f t="shared" si="6"/>
        <v>63297708.333333328</v>
      </c>
    </row>
    <row r="60" spans="1:21" ht="19.5" customHeight="1" x14ac:dyDescent="0.35">
      <c r="A60" s="123" t="s">
        <v>117</v>
      </c>
      <c r="B60" s="345" t="s">
        <v>118</v>
      </c>
      <c r="C60" s="346"/>
      <c r="D60" s="347"/>
      <c r="E60" s="115">
        <v>151914500</v>
      </c>
      <c r="F60" s="114">
        <v>0</v>
      </c>
      <c r="G60" s="114"/>
      <c r="H60" s="168">
        <f>E60/$E$86*100</f>
        <v>7.2321967052311349</v>
      </c>
      <c r="I60" s="115">
        <v>0</v>
      </c>
      <c r="J60" s="168">
        <f t="shared" si="7"/>
        <v>0</v>
      </c>
      <c r="K60" s="178">
        <f>Q60/E60*100</f>
        <v>16.666666666666664</v>
      </c>
      <c r="L60" s="207">
        <f t="shared" ref="L60" si="27">K60*H60/100</f>
        <v>1.2053661175385222</v>
      </c>
      <c r="M60" s="116">
        <f t="shared" si="1"/>
        <v>151914500</v>
      </c>
      <c r="N60" s="114"/>
      <c r="O60" s="118"/>
      <c r="P60" s="88">
        <f t="shared" si="2"/>
        <v>12659541.666666666</v>
      </c>
      <c r="Q60" s="88">
        <f t="shared" si="3"/>
        <v>25319083.333333332</v>
      </c>
      <c r="R60" s="88">
        <f t="shared" si="4"/>
        <v>37978625</v>
      </c>
      <c r="S60" s="88">
        <f t="shared" si="5"/>
        <v>50638166.666666664</v>
      </c>
      <c r="T60" s="88">
        <f t="shared" si="6"/>
        <v>63297708.333333328</v>
      </c>
    </row>
    <row r="61" spans="1:21" ht="19.5" customHeight="1" x14ac:dyDescent="0.35">
      <c r="A61" s="123"/>
      <c r="B61" s="120"/>
      <c r="C61" s="121"/>
      <c r="D61" s="122"/>
      <c r="E61" s="115"/>
      <c r="F61" s="114"/>
      <c r="G61" s="114"/>
      <c r="H61" s="168"/>
      <c r="I61" s="115"/>
      <c r="J61" s="168">
        <f t="shared" si="7"/>
        <v>0</v>
      </c>
      <c r="K61" s="178"/>
      <c r="L61" s="207"/>
      <c r="M61" s="116">
        <f t="shared" si="1"/>
        <v>0</v>
      </c>
      <c r="N61" s="114"/>
      <c r="O61" s="118"/>
      <c r="P61" s="88">
        <f t="shared" si="2"/>
        <v>0</v>
      </c>
      <c r="Q61" s="88">
        <f t="shared" si="3"/>
        <v>0</v>
      </c>
      <c r="R61" s="88">
        <f t="shared" si="4"/>
        <v>0</v>
      </c>
      <c r="S61" s="88">
        <f t="shared" si="5"/>
        <v>0</v>
      </c>
      <c r="T61" s="88">
        <f t="shared" si="6"/>
        <v>0</v>
      </c>
    </row>
    <row r="62" spans="1:21" ht="31.5" customHeight="1" x14ac:dyDescent="0.35">
      <c r="A62" s="180" t="s">
        <v>123</v>
      </c>
      <c r="B62" s="342" t="s">
        <v>124</v>
      </c>
      <c r="C62" s="343"/>
      <c r="D62" s="344"/>
      <c r="E62" s="197">
        <f t="shared" ref="E62:N62" si="28">E63</f>
        <v>5671000</v>
      </c>
      <c r="F62" s="184">
        <f t="shared" si="28"/>
        <v>0</v>
      </c>
      <c r="G62" s="184">
        <f t="shared" si="28"/>
        <v>0</v>
      </c>
      <c r="H62" s="185">
        <f t="shared" si="28"/>
        <v>0.2699794128629312</v>
      </c>
      <c r="I62" s="195">
        <f t="shared" si="28"/>
        <v>0</v>
      </c>
      <c r="J62" s="187">
        <f t="shared" si="7"/>
        <v>0</v>
      </c>
      <c r="K62" s="195">
        <f t="shared" si="28"/>
        <v>0</v>
      </c>
      <c r="L62" s="195">
        <f t="shared" si="28"/>
        <v>0</v>
      </c>
      <c r="M62" s="185">
        <f t="shared" si="28"/>
        <v>5671000</v>
      </c>
      <c r="N62" s="184">
        <f t="shared" si="28"/>
        <v>0</v>
      </c>
      <c r="O62" s="118"/>
      <c r="P62" s="88">
        <f t="shared" si="2"/>
        <v>472583.33333333331</v>
      </c>
      <c r="Q62" s="88">
        <f t="shared" si="3"/>
        <v>945166.66666666663</v>
      </c>
      <c r="R62" s="88">
        <f t="shared" si="4"/>
        <v>1417750</v>
      </c>
      <c r="S62" s="88">
        <f t="shared" si="5"/>
        <v>1890333.3333333333</v>
      </c>
      <c r="T62" s="88">
        <f t="shared" si="6"/>
        <v>2362916.6666666665</v>
      </c>
    </row>
    <row r="63" spans="1:21" ht="15.5" x14ac:dyDescent="0.35">
      <c r="A63" s="123" t="s">
        <v>125</v>
      </c>
      <c r="B63" s="345" t="s">
        <v>126</v>
      </c>
      <c r="C63" s="346"/>
      <c r="D63" s="347"/>
      <c r="E63" s="198">
        <v>5671000</v>
      </c>
      <c r="F63" s="114">
        <v>0</v>
      </c>
      <c r="G63" s="116"/>
      <c r="H63" s="168">
        <f>E63/$E$86*100</f>
        <v>0.2699794128629312</v>
      </c>
      <c r="I63" s="115">
        <v>0</v>
      </c>
      <c r="J63" s="168">
        <f t="shared" si="7"/>
        <v>0</v>
      </c>
      <c r="K63" s="178">
        <v>0</v>
      </c>
      <c r="L63" s="207">
        <f t="shared" ref="L63" si="29">K63*H63/100</f>
        <v>0</v>
      </c>
      <c r="M63" s="116">
        <f t="shared" si="1"/>
        <v>5671000</v>
      </c>
      <c r="N63" s="114"/>
      <c r="O63" s="118"/>
      <c r="P63" s="88">
        <f t="shared" si="2"/>
        <v>472583.33333333331</v>
      </c>
      <c r="Q63" s="88">
        <f t="shared" si="3"/>
        <v>945166.66666666663</v>
      </c>
      <c r="R63" s="88">
        <f t="shared" si="4"/>
        <v>1417750</v>
      </c>
      <c r="S63" s="88">
        <f t="shared" si="5"/>
        <v>1890333.3333333333</v>
      </c>
      <c r="T63" s="88">
        <f t="shared" si="6"/>
        <v>2362916.6666666665</v>
      </c>
    </row>
    <row r="64" spans="1:21" ht="15.5" x14ac:dyDescent="0.35">
      <c r="A64" s="123"/>
      <c r="B64" s="120"/>
      <c r="C64" s="121"/>
      <c r="D64" s="122"/>
      <c r="E64" s="198"/>
      <c r="F64" s="114"/>
      <c r="G64" s="116"/>
      <c r="H64" s="168"/>
      <c r="I64" s="115"/>
      <c r="J64" s="168">
        <f t="shared" si="7"/>
        <v>0</v>
      </c>
      <c r="K64" s="178"/>
      <c r="L64" s="207"/>
      <c r="M64" s="116">
        <f t="shared" si="1"/>
        <v>0</v>
      </c>
      <c r="N64" s="114"/>
      <c r="O64" s="118"/>
      <c r="P64" s="88">
        <f t="shared" si="2"/>
        <v>0</v>
      </c>
      <c r="Q64" s="88">
        <f t="shared" si="3"/>
        <v>0</v>
      </c>
      <c r="R64" s="88">
        <f t="shared" si="4"/>
        <v>0</v>
      </c>
      <c r="S64" s="88">
        <f t="shared" si="5"/>
        <v>0</v>
      </c>
      <c r="T64" s="88">
        <f t="shared" si="6"/>
        <v>0</v>
      </c>
    </row>
    <row r="65" spans="1:20" ht="15.5" x14ac:dyDescent="0.35">
      <c r="A65" s="180" t="s">
        <v>127</v>
      </c>
      <c r="B65" s="342" t="s">
        <v>128</v>
      </c>
      <c r="C65" s="343"/>
      <c r="D65" s="344"/>
      <c r="E65" s="197">
        <f>SUM(E66:E71)</f>
        <v>277395000</v>
      </c>
      <c r="F65" s="184">
        <f>SUM(F66:F70)</f>
        <v>0</v>
      </c>
      <c r="G65" s="184">
        <f>SUM(G66:G70)</f>
        <v>0</v>
      </c>
      <c r="H65" s="185">
        <f t="shared" ref="H65:M65" si="30">SUM(H66:H71)</f>
        <v>13.205949432395135</v>
      </c>
      <c r="I65" s="195">
        <f t="shared" si="30"/>
        <v>15300000</v>
      </c>
      <c r="J65" s="187"/>
      <c r="K65" s="195">
        <f>SUM(K66:K71)/6</f>
        <v>14.444444444444443</v>
      </c>
      <c r="L65" s="195">
        <f t="shared" si="30"/>
        <v>3.5331351850115351</v>
      </c>
      <c r="M65" s="185">
        <f t="shared" si="30"/>
        <v>262095000</v>
      </c>
      <c r="N65" s="184">
        <f>SUM(N66:N70)</f>
        <v>0</v>
      </c>
      <c r="O65" s="118">
        <f>15/100*100</f>
        <v>15</v>
      </c>
      <c r="P65" s="88">
        <f t="shared" si="2"/>
        <v>23116250</v>
      </c>
      <c r="Q65" s="88">
        <f t="shared" si="3"/>
        <v>46232500</v>
      </c>
      <c r="R65" s="88">
        <f t="shared" si="4"/>
        <v>69348750</v>
      </c>
      <c r="S65" s="88">
        <f t="shared" si="5"/>
        <v>92465000</v>
      </c>
      <c r="T65" s="88">
        <f t="shared" si="6"/>
        <v>115581250</v>
      </c>
    </row>
    <row r="66" spans="1:20" ht="15.5" x14ac:dyDescent="0.35">
      <c r="A66" s="123" t="s">
        <v>129</v>
      </c>
      <c r="B66" s="119" t="s">
        <v>130</v>
      </c>
      <c r="C66" s="112"/>
      <c r="D66" s="113"/>
      <c r="E66" s="198">
        <v>122150000</v>
      </c>
      <c r="F66" s="114">
        <v>0</v>
      </c>
      <c r="G66" s="116"/>
      <c r="H66" s="168">
        <f t="shared" ref="H66:H71" si="31">E66/$E$86*100</f>
        <v>5.8151975456193004</v>
      </c>
      <c r="I66" s="115">
        <v>15300000</v>
      </c>
      <c r="J66" s="168">
        <f t="shared" si="7"/>
        <v>0.72838741259087425</v>
      </c>
      <c r="K66" s="178">
        <v>45</v>
      </c>
      <c r="L66" s="207">
        <f t="shared" ref="L66:L71" si="32">K66*H66/100</f>
        <v>2.616838895528685</v>
      </c>
      <c r="M66" s="116">
        <f t="shared" si="1"/>
        <v>106850000</v>
      </c>
      <c r="N66" s="114"/>
      <c r="O66" s="118"/>
      <c r="P66" s="88">
        <f t="shared" si="2"/>
        <v>10179166.666666666</v>
      </c>
      <c r="Q66" s="88">
        <f t="shared" si="3"/>
        <v>20358333.333333332</v>
      </c>
      <c r="R66" s="88">
        <f t="shared" si="4"/>
        <v>30537500</v>
      </c>
      <c r="S66" s="88">
        <f t="shared" si="5"/>
        <v>40716666.666666664</v>
      </c>
      <c r="T66" s="88">
        <f t="shared" si="6"/>
        <v>50895833.333333328</v>
      </c>
    </row>
    <row r="67" spans="1:20" ht="15.5" x14ac:dyDescent="0.35">
      <c r="A67" s="123" t="s">
        <v>131</v>
      </c>
      <c r="B67" s="119" t="s">
        <v>132</v>
      </c>
      <c r="C67" s="112"/>
      <c r="D67" s="113"/>
      <c r="E67" s="198">
        <v>27350000</v>
      </c>
      <c r="F67" s="114">
        <v>0</v>
      </c>
      <c r="G67" s="116"/>
      <c r="H67" s="168">
        <f t="shared" si="31"/>
        <v>1.3020520087817262</v>
      </c>
      <c r="I67" s="115">
        <v>0</v>
      </c>
      <c r="J67" s="168">
        <f t="shared" si="7"/>
        <v>0</v>
      </c>
      <c r="K67" s="178">
        <v>0</v>
      </c>
      <c r="L67" s="207">
        <f t="shared" si="32"/>
        <v>0</v>
      </c>
      <c r="M67" s="116">
        <f t="shared" si="1"/>
        <v>27350000</v>
      </c>
      <c r="N67" s="114"/>
      <c r="O67" s="118"/>
      <c r="P67" s="88">
        <f t="shared" si="2"/>
        <v>2279166.6666666665</v>
      </c>
      <c r="Q67" s="88">
        <f t="shared" si="3"/>
        <v>4558333.333333333</v>
      </c>
      <c r="R67" s="88">
        <f t="shared" si="4"/>
        <v>6837500</v>
      </c>
      <c r="S67" s="88">
        <f t="shared" si="5"/>
        <v>9116666.666666666</v>
      </c>
      <c r="T67" s="88">
        <f t="shared" si="6"/>
        <v>11395833.333333332</v>
      </c>
    </row>
    <row r="68" spans="1:20" ht="15.5" x14ac:dyDescent="0.35">
      <c r="A68" s="123" t="s">
        <v>133</v>
      </c>
      <c r="B68" s="119" t="s">
        <v>134</v>
      </c>
      <c r="C68" s="112"/>
      <c r="D68" s="113"/>
      <c r="E68" s="198">
        <v>25370000</v>
      </c>
      <c r="F68" s="114">
        <v>0</v>
      </c>
      <c r="G68" s="116"/>
      <c r="H68" s="168">
        <f t="shared" si="31"/>
        <v>1.2077901083287896</v>
      </c>
      <c r="I68" s="115">
        <v>0</v>
      </c>
      <c r="J68" s="168">
        <f t="shared" si="7"/>
        <v>0</v>
      </c>
      <c r="K68" s="178">
        <v>0</v>
      </c>
      <c r="L68" s="207">
        <f t="shared" si="32"/>
        <v>0</v>
      </c>
      <c r="M68" s="116">
        <f t="shared" si="1"/>
        <v>25370000</v>
      </c>
      <c r="N68" s="114"/>
      <c r="O68" s="118"/>
      <c r="P68" s="88">
        <f t="shared" si="2"/>
        <v>2114166.6666666665</v>
      </c>
      <c r="Q68" s="88">
        <f t="shared" si="3"/>
        <v>4228333.333333333</v>
      </c>
      <c r="R68" s="88">
        <f t="shared" si="4"/>
        <v>6342500</v>
      </c>
      <c r="S68" s="88">
        <f t="shared" si="5"/>
        <v>8456666.666666666</v>
      </c>
      <c r="T68" s="88">
        <f t="shared" si="6"/>
        <v>10570833.333333332</v>
      </c>
    </row>
    <row r="69" spans="1:20" ht="15.5" x14ac:dyDescent="0.35">
      <c r="A69" s="123" t="s">
        <v>137</v>
      </c>
      <c r="B69" s="119" t="s">
        <v>138</v>
      </c>
      <c r="C69" s="112"/>
      <c r="D69" s="113"/>
      <c r="E69" s="198">
        <v>14100000</v>
      </c>
      <c r="F69" s="114">
        <v>0</v>
      </c>
      <c r="G69" s="116"/>
      <c r="H69" s="168">
        <f t="shared" si="31"/>
        <v>0.67125898807394291</v>
      </c>
      <c r="I69" s="115">
        <v>0</v>
      </c>
      <c r="J69" s="168">
        <f t="shared" si="7"/>
        <v>0</v>
      </c>
      <c r="K69" s="178">
        <v>0</v>
      </c>
      <c r="L69" s="207">
        <f t="shared" si="32"/>
        <v>0</v>
      </c>
      <c r="M69" s="116">
        <f t="shared" si="1"/>
        <v>14100000</v>
      </c>
      <c r="N69" s="114"/>
      <c r="O69" s="118"/>
      <c r="P69" s="88">
        <f t="shared" si="2"/>
        <v>1175000</v>
      </c>
      <c r="Q69" s="88">
        <f t="shared" si="3"/>
        <v>2350000</v>
      </c>
      <c r="R69" s="88">
        <f t="shared" si="4"/>
        <v>3525000</v>
      </c>
      <c r="S69" s="88">
        <f t="shared" si="5"/>
        <v>4700000</v>
      </c>
      <c r="T69" s="88">
        <f t="shared" si="6"/>
        <v>5875000</v>
      </c>
    </row>
    <row r="70" spans="1:20" ht="15.5" x14ac:dyDescent="0.35">
      <c r="A70" s="123" t="s">
        <v>139</v>
      </c>
      <c r="B70" s="119" t="s">
        <v>140</v>
      </c>
      <c r="C70" s="112"/>
      <c r="D70" s="113"/>
      <c r="E70" s="198">
        <v>54115000</v>
      </c>
      <c r="F70" s="114">
        <v>0</v>
      </c>
      <c r="G70" s="116"/>
      <c r="H70" s="168">
        <f t="shared" si="31"/>
        <v>2.5762539106114484</v>
      </c>
      <c r="I70" s="115">
        <v>0</v>
      </c>
      <c r="J70" s="168">
        <f t="shared" si="7"/>
        <v>0</v>
      </c>
      <c r="K70" s="178">
        <v>25</v>
      </c>
      <c r="L70" s="207">
        <f t="shared" si="32"/>
        <v>0.64406347765286209</v>
      </c>
      <c r="M70" s="116">
        <f t="shared" si="1"/>
        <v>54115000</v>
      </c>
      <c r="N70" s="114"/>
      <c r="O70" s="118"/>
      <c r="P70" s="88">
        <f t="shared" si="2"/>
        <v>4509583.333333333</v>
      </c>
      <c r="Q70" s="88">
        <f t="shared" si="3"/>
        <v>9019166.666666666</v>
      </c>
      <c r="R70" s="88">
        <f t="shared" si="4"/>
        <v>13528750</v>
      </c>
      <c r="S70" s="88">
        <f t="shared" si="5"/>
        <v>18038333.333333332</v>
      </c>
      <c r="T70" s="88">
        <f t="shared" si="6"/>
        <v>22547916.666666664</v>
      </c>
    </row>
    <row r="71" spans="1:20" ht="31" x14ac:dyDescent="0.35">
      <c r="A71" s="123" t="s">
        <v>163</v>
      </c>
      <c r="B71" s="119" t="s">
        <v>164</v>
      </c>
      <c r="C71" s="112"/>
      <c r="D71" s="113"/>
      <c r="E71" s="198">
        <v>34310000</v>
      </c>
      <c r="F71" s="114">
        <v>0</v>
      </c>
      <c r="G71" s="116"/>
      <c r="H71" s="168">
        <f t="shared" si="31"/>
        <v>1.633396870979928</v>
      </c>
      <c r="I71" s="115">
        <v>0</v>
      </c>
      <c r="J71" s="168">
        <f t="shared" si="7"/>
        <v>0</v>
      </c>
      <c r="K71" s="178">
        <f t="shared" ref="K71" si="33">Q71/E71*100</f>
        <v>16.666666666666664</v>
      </c>
      <c r="L71" s="207">
        <f t="shared" si="32"/>
        <v>0.27223281182998799</v>
      </c>
      <c r="M71" s="116">
        <f t="shared" si="1"/>
        <v>34310000</v>
      </c>
      <c r="N71" s="114"/>
      <c r="O71" s="118"/>
      <c r="P71" s="88">
        <f t="shared" si="2"/>
        <v>2859166.6666666665</v>
      </c>
      <c r="Q71" s="88">
        <f t="shared" si="3"/>
        <v>5718333.333333333</v>
      </c>
      <c r="R71" s="88">
        <f t="shared" si="4"/>
        <v>8577500</v>
      </c>
      <c r="S71" s="88">
        <f t="shared" si="5"/>
        <v>11436666.666666666</v>
      </c>
      <c r="T71" s="88">
        <f t="shared" si="6"/>
        <v>14295833.333333332</v>
      </c>
    </row>
    <row r="72" spans="1:20" ht="15.5" x14ac:dyDescent="0.35">
      <c r="A72" s="123"/>
      <c r="B72" s="119"/>
      <c r="C72" s="112"/>
      <c r="D72" s="113"/>
      <c r="E72" s="198"/>
      <c r="F72" s="114"/>
      <c r="G72" s="116"/>
      <c r="H72" s="167"/>
      <c r="I72" s="206"/>
      <c r="J72" s="168">
        <f t="shared" si="7"/>
        <v>0</v>
      </c>
      <c r="K72" s="208"/>
      <c r="L72" s="208"/>
      <c r="M72" s="116">
        <f t="shared" si="1"/>
        <v>0</v>
      </c>
      <c r="N72" s="114"/>
      <c r="O72" s="118"/>
      <c r="P72" s="88">
        <f t="shared" si="2"/>
        <v>0</v>
      </c>
      <c r="Q72" s="88">
        <f t="shared" si="3"/>
        <v>0</v>
      </c>
      <c r="R72" s="88">
        <f t="shared" si="4"/>
        <v>0</v>
      </c>
      <c r="S72" s="88">
        <f t="shared" si="5"/>
        <v>0</v>
      </c>
      <c r="T72" s="88">
        <f t="shared" si="6"/>
        <v>0</v>
      </c>
    </row>
    <row r="73" spans="1:20" ht="15.5" x14ac:dyDescent="0.35">
      <c r="A73" s="180" t="s">
        <v>141</v>
      </c>
      <c r="B73" s="342" t="s">
        <v>142</v>
      </c>
      <c r="C73" s="343"/>
      <c r="D73" s="344"/>
      <c r="E73" s="197">
        <f t="shared" ref="E73:N73" si="34">E74</f>
        <v>57479800</v>
      </c>
      <c r="F73" s="184">
        <f t="shared" si="34"/>
        <v>0</v>
      </c>
      <c r="G73" s="184">
        <f t="shared" si="34"/>
        <v>0</v>
      </c>
      <c r="H73" s="185">
        <f t="shared" si="34"/>
        <v>2.7364420129569238</v>
      </c>
      <c r="I73" s="197">
        <f t="shared" si="34"/>
        <v>0</v>
      </c>
      <c r="J73" s="187">
        <f t="shared" si="7"/>
        <v>0</v>
      </c>
      <c r="K73" s="195">
        <f t="shared" si="34"/>
        <v>16.666666666666664</v>
      </c>
      <c r="L73" s="195">
        <f t="shared" si="34"/>
        <v>0.45607366882615386</v>
      </c>
      <c r="M73" s="184">
        <f t="shared" si="34"/>
        <v>57479800</v>
      </c>
      <c r="N73" s="184">
        <f t="shared" si="34"/>
        <v>0</v>
      </c>
      <c r="O73" s="118"/>
      <c r="P73" s="88">
        <f t="shared" si="2"/>
        <v>4789983.333333333</v>
      </c>
      <c r="Q73" s="88">
        <f t="shared" si="3"/>
        <v>9579966.666666666</v>
      </c>
      <c r="R73" s="88">
        <f t="shared" si="4"/>
        <v>14369950</v>
      </c>
      <c r="S73" s="88">
        <f t="shared" si="5"/>
        <v>19159933.333333332</v>
      </c>
      <c r="T73" s="88">
        <f t="shared" si="6"/>
        <v>23949916.666666664</v>
      </c>
    </row>
    <row r="74" spans="1:20" ht="15.5" x14ac:dyDescent="0.35">
      <c r="A74" s="128" t="s">
        <v>143</v>
      </c>
      <c r="B74" s="129" t="s">
        <v>144</v>
      </c>
      <c r="C74" s="130"/>
      <c r="D74" s="131"/>
      <c r="E74" s="200">
        <v>57479800</v>
      </c>
      <c r="F74" s="133">
        <v>0</v>
      </c>
      <c r="G74" s="132"/>
      <c r="H74" s="169">
        <f>E74/$E$86*100</f>
        <v>2.7364420129569238</v>
      </c>
      <c r="I74" s="134">
        <v>0</v>
      </c>
      <c r="J74" s="168">
        <f t="shared" si="7"/>
        <v>0</v>
      </c>
      <c r="K74" s="178">
        <f>Q74/E74*100</f>
        <v>16.666666666666664</v>
      </c>
      <c r="L74" s="209">
        <f t="shared" ref="L74" si="35">K74*H74/100</f>
        <v>0.45607366882615386</v>
      </c>
      <c r="M74" s="116">
        <f t="shared" si="1"/>
        <v>57479800</v>
      </c>
      <c r="N74" s="133"/>
      <c r="O74" s="118"/>
      <c r="P74" s="88">
        <f t="shared" si="2"/>
        <v>4789983.333333333</v>
      </c>
      <c r="Q74" s="88">
        <f t="shared" si="3"/>
        <v>9579966.666666666</v>
      </c>
      <c r="R74" s="88">
        <f t="shared" si="4"/>
        <v>14369950</v>
      </c>
      <c r="S74" s="88">
        <f t="shared" si="5"/>
        <v>19159933.333333332</v>
      </c>
      <c r="T74" s="88">
        <f t="shared" si="6"/>
        <v>23949916.666666664</v>
      </c>
    </row>
    <row r="75" spans="1:20" ht="15.5" x14ac:dyDescent="0.35">
      <c r="A75" s="135"/>
      <c r="B75" s="136"/>
      <c r="C75" s="137"/>
      <c r="D75" s="138"/>
      <c r="E75" s="201"/>
      <c r="F75" s="140"/>
      <c r="G75" s="139"/>
      <c r="H75" s="170"/>
      <c r="I75" s="141"/>
      <c r="J75" s="168">
        <f t="shared" si="7"/>
        <v>0</v>
      </c>
      <c r="K75" s="179"/>
      <c r="L75" s="210"/>
      <c r="M75" s="116">
        <f t="shared" si="1"/>
        <v>0</v>
      </c>
      <c r="N75" s="140"/>
      <c r="O75" s="118"/>
      <c r="P75" s="88">
        <f t="shared" si="2"/>
        <v>0</v>
      </c>
      <c r="Q75" s="88">
        <f t="shared" si="3"/>
        <v>0</v>
      </c>
      <c r="R75" s="88">
        <f t="shared" si="4"/>
        <v>0</v>
      </c>
      <c r="S75" s="88">
        <f t="shared" si="5"/>
        <v>0</v>
      </c>
      <c r="T75" s="88">
        <f t="shared" si="6"/>
        <v>0</v>
      </c>
    </row>
    <row r="76" spans="1:20" ht="33" customHeight="1" x14ac:dyDescent="0.35">
      <c r="A76" s="180" t="s">
        <v>165</v>
      </c>
      <c r="B76" s="342" t="s">
        <v>166</v>
      </c>
      <c r="C76" s="343"/>
      <c r="D76" s="344"/>
      <c r="E76" s="197">
        <f>E77</f>
        <v>35225000</v>
      </c>
      <c r="F76" s="184">
        <f>SUM(F77:F84)</f>
        <v>0</v>
      </c>
      <c r="G76" s="184">
        <f>SUM(G77:G84)</f>
        <v>0</v>
      </c>
      <c r="H76" s="185">
        <f t="shared" ref="H76:M76" si="36">H77</f>
        <v>1.6769572946740881</v>
      </c>
      <c r="I76" s="197">
        <f t="shared" si="36"/>
        <v>0</v>
      </c>
      <c r="J76" s="187">
        <f t="shared" si="7"/>
        <v>0</v>
      </c>
      <c r="K76" s="195">
        <f t="shared" si="36"/>
        <v>0</v>
      </c>
      <c r="L76" s="195">
        <f t="shared" si="36"/>
        <v>0</v>
      </c>
      <c r="M76" s="184">
        <f t="shared" si="36"/>
        <v>35225000</v>
      </c>
      <c r="N76" s="184">
        <f>SUM(N77:N84)</f>
        <v>0</v>
      </c>
      <c r="O76" s="118"/>
      <c r="P76" s="88">
        <f t="shared" ref="P76:P123" si="37">E76/12</f>
        <v>2935416.6666666665</v>
      </c>
      <c r="Q76" s="88">
        <f t="shared" ref="Q76:Q123" si="38">P76*2</f>
        <v>5870833.333333333</v>
      </c>
      <c r="R76" s="88">
        <f t="shared" ref="R76:R92" si="39">P76*3</f>
        <v>8806250</v>
      </c>
      <c r="S76" s="88">
        <f t="shared" ref="S76:S92" si="40">P76*4</f>
        <v>11741666.666666666</v>
      </c>
      <c r="T76" s="88">
        <f t="shared" ref="T76:T92" si="41">P76*5</f>
        <v>14677083.333333332</v>
      </c>
    </row>
    <row r="77" spans="1:20" ht="15.5" x14ac:dyDescent="0.35">
      <c r="A77" s="123" t="s">
        <v>129</v>
      </c>
      <c r="B77" s="119" t="s">
        <v>167</v>
      </c>
      <c r="C77" s="112"/>
      <c r="D77" s="113"/>
      <c r="E77" s="198">
        <v>35225000</v>
      </c>
      <c r="F77" s="114">
        <v>0</v>
      </c>
      <c r="G77" s="116"/>
      <c r="H77" s="168">
        <f>E77/$E$86*100</f>
        <v>1.6769572946740881</v>
      </c>
      <c r="I77" s="115">
        <v>0</v>
      </c>
      <c r="J77" s="168">
        <f t="shared" ref="J77:J83" si="42">I77/$E$86*100</f>
        <v>0</v>
      </c>
      <c r="K77" s="178">
        <v>0</v>
      </c>
      <c r="L77" s="207">
        <f t="shared" ref="L77:L80" si="43">K77*H77/100</f>
        <v>0</v>
      </c>
      <c r="M77" s="116">
        <f t="shared" ref="M77:M83" si="44">E77-I77</f>
        <v>35225000</v>
      </c>
      <c r="N77" s="114"/>
      <c r="O77" s="118"/>
      <c r="P77" s="88">
        <f t="shared" si="37"/>
        <v>2935416.6666666665</v>
      </c>
      <c r="Q77" s="88">
        <f t="shared" si="38"/>
        <v>5870833.333333333</v>
      </c>
      <c r="R77" s="88">
        <f t="shared" si="39"/>
        <v>8806250</v>
      </c>
      <c r="S77" s="88">
        <f t="shared" si="40"/>
        <v>11741666.666666666</v>
      </c>
      <c r="T77" s="88">
        <f t="shared" si="41"/>
        <v>14677083.333333332</v>
      </c>
    </row>
    <row r="78" spans="1:20" ht="15.5" x14ac:dyDescent="0.35">
      <c r="A78" s="123"/>
      <c r="B78" s="119"/>
      <c r="C78" s="112"/>
      <c r="D78" s="113"/>
      <c r="E78" s="198"/>
      <c r="F78" s="114"/>
      <c r="G78" s="116"/>
      <c r="H78" s="168"/>
      <c r="I78" s="115"/>
      <c r="J78" s="168">
        <f t="shared" si="42"/>
        <v>0</v>
      </c>
      <c r="K78" s="178"/>
      <c r="L78" s="207"/>
      <c r="M78" s="116">
        <f t="shared" si="44"/>
        <v>0</v>
      </c>
      <c r="N78" s="114"/>
      <c r="O78" s="118"/>
      <c r="P78" s="88">
        <f t="shared" si="37"/>
        <v>0</v>
      </c>
      <c r="Q78" s="88">
        <f t="shared" si="38"/>
        <v>0</v>
      </c>
      <c r="R78" s="88">
        <f t="shared" si="39"/>
        <v>0</v>
      </c>
      <c r="S78" s="88">
        <f t="shared" si="40"/>
        <v>0</v>
      </c>
      <c r="T78" s="88">
        <f t="shared" si="41"/>
        <v>0</v>
      </c>
    </row>
    <row r="79" spans="1:20" ht="31" x14ac:dyDescent="0.35">
      <c r="A79" s="180" t="s">
        <v>169</v>
      </c>
      <c r="B79" s="189" t="s">
        <v>168</v>
      </c>
      <c r="C79" s="190"/>
      <c r="D79" s="191"/>
      <c r="E79" s="197">
        <f>E80</f>
        <v>26000000</v>
      </c>
      <c r="F79" s="188"/>
      <c r="G79" s="194"/>
      <c r="H79" s="185">
        <f t="shared" ref="H79:N79" si="45">H80</f>
        <v>1.2377825312001784</v>
      </c>
      <c r="I79" s="195">
        <f t="shared" si="45"/>
        <v>0</v>
      </c>
      <c r="J79" s="187">
        <f t="shared" si="42"/>
        <v>0</v>
      </c>
      <c r="K79" s="195">
        <f t="shared" si="45"/>
        <v>0</v>
      </c>
      <c r="L79" s="195">
        <f t="shared" si="45"/>
        <v>0</v>
      </c>
      <c r="M79" s="185">
        <f t="shared" si="45"/>
        <v>26000000</v>
      </c>
      <c r="N79" s="185">
        <f t="shared" si="45"/>
        <v>0</v>
      </c>
      <c r="O79" s="118"/>
      <c r="P79" s="88">
        <f t="shared" si="37"/>
        <v>2166666.6666666665</v>
      </c>
      <c r="Q79" s="88">
        <f t="shared" si="38"/>
        <v>4333333.333333333</v>
      </c>
      <c r="R79" s="88">
        <f t="shared" si="39"/>
        <v>6500000</v>
      </c>
      <c r="S79" s="88">
        <f t="shared" si="40"/>
        <v>8666666.666666666</v>
      </c>
      <c r="T79" s="88">
        <f t="shared" si="41"/>
        <v>10833333.333333332</v>
      </c>
    </row>
    <row r="80" spans="1:20" ht="15.5" x14ac:dyDescent="0.35">
      <c r="A80" s="123" t="s">
        <v>170</v>
      </c>
      <c r="B80" s="119" t="s">
        <v>171</v>
      </c>
      <c r="C80" s="112"/>
      <c r="D80" s="113"/>
      <c r="E80" s="198">
        <v>26000000</v>
      </c>
      <c r="F80" s="114">
        <v>0</v>
      </c>
      <c r="G80" s="116"/>
      <c r="H80" s="168">
        <f>E80/$E$86*100</f>
        <v>1.2377825312001784</v>
      </c>
      <c r="I80" s="115">
        <v>0</v>
      </c>
      <c r="J80" s="168">
        <f t="shared" si="42"/>
        <v>0</v>
      </c>
      <c r="K80" s="178">
        <v>0</v>
      </c>
      <c r="L80" s="207">
        <f t="shared" si="43"/>
        <v>0</v>
      </c>
      <c r="M80" s="116">
        <f t="shared" si="44"/>
        <v>26000000</v>
      </c>
      <c r="N80" s="114"/>
      <c r="O80" s="118"/>
      <c r="P80" s="88">
        <f t="shared" si="37"/>
        <v>2166666.6666666665</v>
      </c>
      <c r="Q80" s="88">
        <f t="shared" si="38"/>
        <v>4333333.333333333</v>
      </c>
      <c r="R80" s="88">
        <f t="shared" si="39"/>
        <v>6500000</v>
      </c>
      <c r="S80" s="88">
        <f t="shared" si="40"/>
        <v>8666666.666666666</v>
      </c>
      <c r="T80" s="88">
        <f t="shared" si="41"/>
        <v>10833333.333333332</v>
      </c>
    </row>
    <row r="81" spans="1:20" ht="15.5" x14ac:dyDescent="0.35">
      <c r="A81" s="123"/>
      <c r="B81" s="119"/>
      <c r="C81" s="112"/>
      <c r="D81" s="113"/>
      <c r="E81" s="198"/>
      <c r="F81" s="114"/>
      <c r="G81" s="116"/>
      <c r="H81" s="168"/>
      <c r="I81" s="115"/>
      <c r="J81" s="168">
        <f t="shared" si="42"/>
        <v>0</v>
      </c>
      <c r="K81" s="178"/>
      <c r="L81" s="207"/>
      <c r="M81" s="116">
        <f t="shared" si="44"/>
        <v>0</v>
      </c>
      <c r="N81" s="114"/>
      <c r="O81" s="118"/>
      <c r="P81" s="88">
        <f t="shared" si="37"/>
        <v>0</v>
      </c>
      <c r="Q81" s="88">
        <f t="shared" si="38"/>
        <v>0</v>
      </c>
      <c r="R81" s="88">
        <f t="shared" si="39"/>
        <v>0</v>
      </c>
      <c r="S81" s="88">
        <f t="shared" si="40"/>
        <v>0</v>
      </c>
      <c r="T81" s="88">
        <f t="shared" si="41"/>
        <v>0</v>
      </c>
    </row>
    <row r="82" spans="1:20" ht="15.5" x14ac:dyDescent="0.35">
      <c r="A82" s="180" t="s">
        <v>172</v>
      </c>
      <c r="B82" s="189" t="s">
        <v>173</v>
      </c>
      <c r="C82" s="190"/>
      <c r="D82" s="191"/>
      <c r="E82" s="197">
        <f>E83</f>
        <v>23530208</v>
      </c>
      <c r="F82" s="188">
        <v>0</v>
      </c>
      <c r="G82" s="194"/>
      <c r="H82" s="185">
        <f t="shared" ref="H82:M82" si="46">H83</f>
        <v>1.1202030929964111</v>
      </c>
      <c r="I82" s="195">
        <f t="shared" si="46"/>
        <v>0</v>
      </c>
      <c r="J82" s="187">
        <f t="shared" si="42"/>
        <v>0</v>
      </c>
      <c r="K82" s="195">
        <f t="shared" si="46"/>
        <v>15</v>
      </c>
      <c r="L82" s="195">
        <f t="shared" si="46"/>
        <v>0.16803046394946164</v>
      </c>
      <c r="M82" s="185">
        <f t="shared" si="46"/>
        <v>23530208</v>
      </c>
      <c r="N82" s="188"/>
      <c r="O82" s="118"/>
      <c r="P82" s="88">
        <f t="shared" si="37"/>
        <v>1960850.6666666667</v>
      </c>
      <c r="Q82" s="88">
        <f t="shared" si="38"/>
        <v>3921701.3333333335</v>
      </c>
      <c r="R82" s="88">
        <f t="shared" si="39"/>
        <v>5882552</v>
      </c>
      <c r="S82" s="88">
        <f t="shared" si="40"/>
        <v>7843402.666666667</v>
      </c>
      <c r="T82" s="88">
        <f t="shared" si="41"/>
        <v>9804253.333333334</v>
      </c>
    </row>
    <row r="83" spans="1:20" ht="15.5" x14ac:dyDescent="0.35">
      <c r="A83" s="123" t="s">
        <v>174</v>
      </c>
      <c r="B83" s="119" t="s">
        <v>175</v>
      </c>
      <c r="C83" s="112"/>
      <c r="D83" s="113"/>
      <c r="E83" s="198">
        <v>23530208</v>
      </c>
      <c r="F83" s="114">
        <v>0</v>
      </c>
      <c r="G83" s="116"/>
      <c r="H83" s="168">
        <f>E83/$E$86*100</f>
        <v>1.1202030929964111</v>
      </c>
      <c r="I83" s="115">
        <v>0</v>
      </c>
      <c r="J83" s="168">
        <f t="shared" si="42"/>
        <v>0</v>
      </c>
      <c r="K83" s="178">
        <v>15</v>
      </c>
      <c r="L83" s="207">
        <f>K83*H83/100</f>
        <v>0.16803046394946164</v>
      </c>
      <c r="M83" s="116">
        <f t="shared" si="44"/>
        <v>23530208</v>
      </c>
      <c r="N83" s="114"/>
      <c r="O83" s="118"/>
      <c r="P83" s="88">
        <f t="shared" si="37"/>
        <v>1960850.6666666667</v>
      </c>
      <c r="Q83" s="88">
        <f t="shared" si="38"/>
        <v>3921701.3333333335</v>
      </c>
      <c r="R83" s="88">
        <f t="shared" si="39"/>
        <v>5882552</v>
      </c>
      <c r="S83" s="88">
        <f t="shared" si="40"/>
        <v>7843402.666666667</v>
      </c>
      <c r="T83" s="88">
        <f t="shared" si="41"/>
        <v>9804253.333333334</v>
      </c>
    </row>
    <row r="84" spans="1:20" ht="15.5" x14ac:dyDescent="0.35">
      <c r="A84" s="123"/>
      <c r="B84" s="119"/>
      <c r="C84" s="112"/>
      <c r="D84" s="113"/>
      <c r="E84" s="198"/>
      <c r="F84" s="114"/>
      <c r="G84" s="116"/>
      <c r="H84" s="168"/>
      <c r="I84" s="115"/>
      <c r="J84" s="168"/>
      <c r="K84" s="211"/>
      <c r="L84" s="207"/>
      <c r="M84" s="116"/>
      <c r="N84" s="114"/>
      <c r="O84" s="118"/>
      <c r="P84" s="88">
        <f t="shared" si="37"/>
        <v>0</v>
      </c>
      <c r="Q84" s="88">
        <f t="shared" si="38"/>
        <v>0</v>
      </c>
      <c r="R84" s="88">
        <f t="shared" si="39"/>
        <v>0</v>
      </c>
      <c r="S84" s="88">
        <f t="shared" si="40"/>
        <v>0</v>
      </c>
      <c r="T84" s="88">
        <f t="shared" si="41"/>
        <v>0</v>
      </c>
    </row>
    <row r="85" spans="1:20" ht="15.5" x14ac:dyDescent="0.35">
      <c r="A85" s="142"/>
      <c r="B85" s="143"/>
      <c r="C85" s="144"/>
      <c r="D85" s="145"/>
      <c r="E85" s="202"/>
      <c r="F85" s="147"/>
      <c r="G85" s="146"/>
      <c r="H85" s="171"/>
      <c r="I85" s="148"/>
      <c r="J85" s="171"/>
      <c r="K85" s="212">
        <f>K10+K23+K31+K34+K37+K41+K45+K52+K56+K59+K62+K65+K73+K76+K79+K82</f>
        <v>163.69411194784439</v>
      </c>
      <c r="L85" s="148"/>
      <c r="M85" s="146"/>
      <c r="N85" s="147"/>
      <c r="O85" s="118"/>
      <c r="P85" s="88">
        <f t="shared" si="37"/>
        <v>0</v>
      </c>
      <c r="Q85" s="88">
        <f t="shared" si="38"/>
        <v>0</v>
      </c>
      <c r="R85" s="88">
        <f t="shared" si="39"/>
        <v>0</v>
      </c>
      <c r="S85" s="88">
        <f t="shared" si="40"/>
        <v>0</v>
      </c>
      <c r="T85" s="88">
        <f t="shared" si="41"/>
        <v>0</v>
      </c>
    </row>
    <row r="86" spans="1:20" ht="15.5" x14ac:dyDescent="0.35">
      <c r="A86" s="336" t="s">
        <v>145</v>
      </c>
      <c r="B86" s="337"/>
      <c r="C86" s="337"/>
      <c r="D86" s="338"/>
      <c r="E86" s="203">
        <f>E10+E23+E31+E34+E37+E41+E45+E52+E56+E59+E62+E65+E73+E76+E79+E82</f>
        <v>2100530533</v>
      </c>
      <c r="F86" s="149">
        <f>F10+F23+F31+F34+F37+F41+F45+F52+F56+F59+F62+F65+F73+F76+F79+F82</f>
        <v>0</v>
      </c>
      <c r="G86" s="149">
        <f>G10+G23+G31+G34+G37+G41+G45+G52+G56+G59+G62+G65+G73+G76+G79+G82</f>
        <v>0</v>
      </c>
      <c r="H86" s="149">
        <f>H10+H23+H31+H34+H37+H41+H45+H52+H56+H59+H62+H65+H73+H76+H79+H82</f>
        <v>100</v>
      </c>
      <c r="I86" s="203">
        <f>I10+I23+I31+I34+I37+I41+I45+I52+I56+I59+I62+I65+I73+I76+I79+I82</f>
        <v>67600000</v>
      </c>
      <c r="J86" s="172">
        <f>I86/E86*100</f>
        <v>3.218234581120464</v>
      </c>
      <c r="K86" s="172">
        <f>K85/16</f>
        <v>10.230881996740274</v>
      </c>
      <c r="L86" s="172">
        <f>L10+L23+L31+L34+L37+L41+L45+L52+L56+L59+L62+L65+L73+L76+L79+L82</f>
        <v>14.021365607563311</v>
      </c>
      <c r="M86" s="149">
        <f>M10+M23+M31+M34+M37+M41+M45+M52+M56+M59+M62+M65+M73+M76+M79+M82</f>
        <v>2032930533</v>
      </c>
      <c r="N86" s="149"/>
      <c r="O86" s="150"/>
      <c r="P86" s="88">
        <f t="shared" si="37"/>
        <v>175044211.08333334</v>
      </c>
      <c r="Q86" s="88">
        <f t="shared" si="38"/>
        <v>350088422.16666669</v>
      </c>
      <c r="R86" s="88">
        <f t="shared" si="39"/>
        <v>525132633.25</v>
      </c>
      <c r="S86" s="88">
        <f t="shared" si="40"/>
        <v>700176844.33333337</v>
      </c>
      <c r="T86" s="88">
        <f t="shared" si="41"/>
        <v>875221055.41666675</v>
      </c>
    </row>
    <row r="87" spans="1:20" ht="15.5" x14ac:dyDescent="0.35">
      <c r="A87" s="151"/>
      <c r="B87" s="106"/>
      <c r="C87" s="106"/>
      <c r="D87" s="106"/>
      <c r="E87" s="152"/>
      <c r="F87" s="153"/>
      <c r="G87" s="153"/>
      <c r="H87" s="173"/>
      <c r="I87" s="153"/>
      <c r="J87" s="154"/>
      <c r="K87" s="154"/>
      <c r="L87" s="154"/>
      <c r="M87" s="154"/>
      <c r="N87" s="155"/>
      <c r="O87" s="106"/>
      <c r="P87" s="88">
        <f t="shared" si="37"/>
        <v>0</v>
      </c>
      <c r="Q87" s="88">
        <f t="shared" si="38"/>
        <v>0</v>
      </c>
      <c r="R87" s="88">
        <f t="shared" si="39"/>
        <v>0</v>
      </c>
      <c r="S87" s="88">
        <f t="shared" si="40"/>
        <v>0</v>
      </c>
      <c r="T87" s="88">
        <f t="shared" si="41"/>
        <v>0</v>
      </c>
    </row>
    <row r="88" spans="1:20" ht="15.5" x14ac:dyDescent="0.35">
      <c r="A88" s="151"/>
      <c r="B88" s="106"/>
      <c r="C88" s="106"/>
      <c r="D88" s="106"/>
      <c r="E88" s="152">
        <v>7738766077.0699997</v>
      </c>
      <c r="F88" s="153"/>
      <c r="G88" s="153"/>
      <c r="H88" s="173"/>
      <c r="I88" s="156"/>
      <c r="J88" s="371" t="s">
        <v>176</v>
      </c>
      <c r="K88" s="371"/>
      <c r="L88" s="371"/>
      <c r="M88" s="154"/>
      <c r="N88" s="155"/>
      <c r="O88" s="106"/>
      <c r="P88" s="88">
        <f t="shared" si="37"/>
        <v>644897173.08916664</v>
      </c>
      <c r="Q88" s="88">
        <f t="shared" si="38"/>
        <v>1289794346.1783333</v>
      </c>
      <c r="R88" s="88">
        <f t="shared" si="39"/>
        <v>1934691519.2674999</v>
      </c>
      <c r="S88" s="88">
        <f t="shared" si="40"/>
        <v>2579588692.3566666</v>
      </c>
      <c r="T88" s="88">
        <f t="shared" si="41"/>
        <v>3224485865.4458332</v>
      </c>
    </row>
    <row r="89" spans="1:20" ht="15.5" x14ac:dyDescent="0.35">
      <c r="A89" s="151"/>
      <c r="B89" s="106"/>
      <c r="C89" s="106"/>
      <c r="D89" s="106"/>
      <c r="E89" s="152"/>
      <c r="F89" s="153"/>
      <c r="G89" s="157"/>
      <c r="H89" s="174"/>
      <c r="I89" s="156"/>
      <c r="J89" s="371" t="s">
        <v>177</v>
      </c>
      <c r="K89" s="371"/>
      <c r="L89" s="371"/>
      <c r="M89" s="154"/>
      <c r="N89" s="155"/>
      <c r="O89" s="106"/>
      <c r="P89" s="88">
        <f t="shared" si="37"/>
        <v>0</v>
      </c>
      <c r="Q89" s="88">
        <f t="shared" si="38"/>
        <v>0</v>
      </c>
      <c r="R89" s="88">
        <f t="shared" si="39"/>
        <v>0</v>
      </c>
      <c r="S89" s="88">
        <f t="shared" si="40"/>
        <v>0</v>
      </c>
      <c r="T89" s="88">
        <f t="shared" si="41"/>
        <v>0</v>
      </c>
    </row>
    <row r="90" spans="1:20" ht="15.5" x14ac:dyDescent="0.35">
      <c r="A90" s="151"/>
      <c r="B90" s="106"/>
      <c r="C90" s="106"/>
      <c r="D90" s="106"/>
      <c r="E90" s="152"/>
      <c r="F90" s="153"/>
      <c r="G90" s="157"/>
      <c r="H90" s="174"/>
      <c r="I90" s="156"/>
      <c r="J90" s="157"/>
      <c r="K90" s="157"/>
      <c r="L90" s="157"/>
      <c r="M90" s="154"/>
      <c r="N90" s="155"/>
      <c r="O90" s="106"/>
      <c r="P90" s="88">
        <f t="shared" si="37"/>
        <v>0</v>
      </c>
      <c r="Q90" s="88">
        <f t="shared" si="38"/>
        <v>0</v>
      </c>
      <c r="R90" s="88">
        <f t="shared" si="39"/>
        <v>0</v>
      </c>
      <c r="S90" s="88">
        <f t="shared" si="40"/>
        <v>0</v>
      </c>
      <c r="T90" s="88">
        <f t="shared" si="41"/>
        <v>0</v>
      </c>
    </row>
    <row r="91" spans="1:20" ht="15.5" x14ac:dyDescent="0.35">
      <c r="A91" s="151"/>
      <c r="B91" s="106"/>
      <c r="C91" s="106"/>
      <c r="D91" s="106"/>
      <c r="E91" s="153"/>
      <c r="F91" s="153"/>
      <c r="G91" s="157"/>
      <c r="H91" s="174"/>
      <c r="I91" s="156"/>
      <c r="J91" s="157"/>
      <c r="K91" s="157"/>
      <c r="L91" s="157"/>
      <c r="M91" s="154"/>
      <c r="N91" s="155"/>
      <c r="O91" s="106"/>
      <c r="P91" s="88">
        <f t="shared" si="37"/>
        <v>0</v>
      </c>
      <c r="Q91" s="88">
        <f t="shared" si="38"/>
        <v>0</v>
      </c>
      <c r="R91" s="88">
        <f t="shared" si="39"/>
        <v>0</v>
      </c>
      <c r="S91" s="88">
        <f t="shared" si="40"/>
        <v>0</v>
      </c>
      <c r="T91" s="88">
        <f t="shared" si="41"/>
        <v>0</v>
      </c>
    </row>
    <row r="92" spans="1:20" ht="15.5" x14ac:dyDescent="0.35">
      <c r="A92" s="151"/>
      <c r="B92" s="106"/>
      <c r="C92" s="106"/>
      <c r="D92" s="106"/>
      <c r="E92" s="153"/>
      <c r="F92" s="153"/>
      <c r="G92" s="153"/>
      <c r="H92" s="174"/>
      <c r="I92" s="156"/>
      <c r="J92" s="154"/>
      <c r="K92" s="157"/>
      <c r="L92" s="154"/>
      <c r="M92" s="154"/>
      <c r="N92" s="155"/>
      <c r="O92" s="106"/>
      <c r="P92" s="88">
        <f t="shared" si="37"/>
        <v>0</v>
      </c>
      <c r="Q92" s="88">
        <f t="shared" si="38"/>
        <v>0</v>
      </c>
      <c r="R92" s="88">
        <f t="shared" si="39"/>
        <v>0</v>
      </c>
      <c r="S92" s="88">
        <f t="shared" si="40"/>
        <v>0</v>
      </c>
      <c r="T92" s="88">
        <f t="shared" si="41"/>
        <v>0</v>
      </c>
    </row>
    <row r="93" spans="1:20" ht="18.5" x14ac:dyDescent="0.65">
      <c r="A93" s="151"/>
      <c r="B93" s="156"/>
      <c r="C93" s="106"/>
      <c r="D93" s="106"/>
      <c r="E93" s="153"/>
      <c r="F93" s="153"/>
      <c r="G93" s="153"/>
      <c r="H93" s="174"/>
      <c r="I93" s="156"/>
      <c r="J93" s="372" t="s">
        <v>178</v>
      </c>
      <c r="K93" s="372"/>
      <c r="L93" s="372"/>
      <c r="M93" s="154"/>
      <c r="N93" s="155"/>
      <c r="O93" s="106"/>
      <c r="P93" s="88">
        <f t="shared" si="37"/>
        <v>0</v>
      </c>
      <c r="Q93" s="88">
        <f t="shared" si="38"/>
        <v>0</v>
      </c>
    </row>
    <row r="94" spans="1:20" ht="15.5" x14ac:dyDescent="0.35">
      <c r="A94" s="158"/>
      <c r="B94" s="159"/>
      <c r="C94" s="159"/>
      <c r="D94" s="159"/>
      <c r="E94" s="160"/>
      <c r="F94" s="160"/>
      <c r="G94" s="160"/>
      <c r="H94" s="175"/>
      <c r="I94" s="161"/>
      <c r="J94" s="373" t="s">
        <v>179</v>
      </c>
      <c r="K94" s="373"/>
      <c r="L94" s="373"/>
      <c r="M94" s="162"/>
      <c r="N94" s="163"/>
      <c r="O94" s="106"/>
      <c r="P94" s="88">
        <f t="shared" si="37"/>
        <v>0</v>
      </c>
      <c r="Q94" s="88">
        <f t="shared" si="38"/>
        <v>0</v>
      </c>
    </row>
    <row r="95" spans="1:20" ht="15.5" x14ac:dyDescent="0.35">
      <c r="A95" s="164"/>
      <c r="B95" s="164"/>
      <c r="C95" s="164"/>
      <c r="D95" s="164"/>
      <c r="E95" s="165"/>
      <c r="F95" s="165"/>
      <c r="G95" s="165"/>
      <c r="H95" s="176"/>
      <c r="I95" s="165"/>
      <c r="J95" s="165"/>
      <c r="K95" s="165"/>
      <c r="L95" s="165"/>
      <c r="M95" s="165"/>
      <c r="N95" s="165"/>
      <c r="O95" s="164"/>
      <c r="P95" s="88">
        <f t="shared" si="37"/>
        <v>0</v>
      </c>
      <c r="Q95" s="88">
        <f t="shared" si="38"/>
        <v>0</v>
      </c>
    </row>
    <row r="96" spans="1:20" ht="15.5" x14ac:dyDescent="0.35">
      <c r="A96" s="88" t="s">
        <v>153</v>
      </c>
      <c r="B96" s="106"/>
      <c r="E96" s="166"/>
      <c r="F96" s="166"/>
      <c r="G96" s="166"/>
      <c r="H96" s="177"/>
      <c r="I96" s="166"/>
      <c r="J96" s="166">
        <v>3.49</v>
      </c>
      <c r="K96" s="166"/>
      <c r="L96" s="166"/>
      <c r="M96" s="166"/>
      <c r="N96" s="166"/>
      <c r="P96" s="88">
        <f t="shared" si="37"/>
        <v>0</v>
      </c>
      <c r="Q96" s="88">
        <f t="shared" si="38"/>
        <v>0</v>
      </c>
    </row>
    <row r="97" spans="2:17" ht="15.5" x14ac:dyDescent="0.35">
      <c r="B97" s="106"/>
      <c r="E97" s="166"/>
      <c r="F97" s="166"/>
      <c r="G97" s="166"/>
      <c r="H97" s="177"/>
      <c r="I97" s="166">
        <v>6394907176</v>
      </c>
      <c r="J97" s="166">
        <v>80.41</v>
      </c>
      <c r="K97" s="166"/>
      <c r="L97" s="166"/>
      <c r="M97" s="166"/>
      <c r="N97" s="166"/>
      <c r="P97" s="88">
        <f t="shared" si="37"/>
        <v>0</v>
      </c>
      <c r="Q97" s="88">
        <f t="shared" si="38"/>
        <v>0</v>
      </c>
    </row>
    <row r="98" spans="2:17" ht="15.5" x14ac:dyDescent="0.35">
      <c r="B98" s="106"/>
      <c r="E98" s="166"/>
      <c r="F98" s="166"/>
      <c r="G98" s="166"/>
      <c r="H98" s="177"/>
      <c r="I98" s="166"/>
      <c r="J98" s="166"/>
      <c r="K98" s="166"/>
      <c r="L98" s="166"/>
      <c r="M98" s="166"/>
      <c r="N98" s="166"/>
      <c r="P98" s="88">
        <f t="shared" si="37"/>
        <v>0</v>
      </c>
      <c r="Q98" s="88">
        <f t="shared" si="38"/>
        <v>0</v>
      </c>
    </row>
    <row r="99" spans="2:17" ht="15.5" x14ac:dyDescent="0.35">
      <c r="B99" s="106"/>
      <c r="E99" s="166"/>
      <c r="F99" s="166"/>
      <c r="G99" s="166"/>
      <c r="H99" s="177"/>
      <c r="I99" s="166"/>
      <c r="J99" s="166"/>
      <c r="K99" s="166"/>
      <c r="L99" s="166"/>
      <c r="M99" s="166"/>
      <c r="N99" s="166"/>
      <c r="P99" s="88">
        <f t="shared" si="37"/>
        <v>0</v>
      </c>
      <c r="Q99" s="88">
        <f t="shared" si="38"/>
        <v>0</v>
      </c>
    </row>
    <row r="100" spans="2:17" ht="15.5" x14ac:dyDescent="0.35">
      <c r="B100" s="106"/>
      <c r="E100" s="166"/>
      <c r="F100" s="166"/>
      <c r="G100" s="166"/>
      <c r="H100" s="177"/>
      <c r="I100" s="166"/>
      <c r="J100" s="166"/>
      <c r="K100" s="166"/>
      <c r="L100" s="166"/>
      <c r="M100" s="166"/>
      <c r="N100" s="166"/>
      <c r="P100" s="88">
        <f t="shared" si="37"/>
        <v>0</v>
      </c>
      <c r="Q100" s="88">
        <f t="shared" si="38"/>
        <v>0</v>
      </c>
    </row>
    <row r="101" spans="2:17" x14ac:dyDescent="0.35">
      <c r="E101" s="166"/>
      <c r="F101" s="166"/>
      <c r="G101" s="166"/>
      <c r="H101" s="177"/>
      <c r="I101" s="166"/>
      <c r="J101" s="166"/>
      <c r="K101" s="166"/>
      <c r="L101" s="166"/>
      <c r="M101" s="166"/>
      <c r="N101" s="166"/>
      <c r="P101" s="88">
        <f t="shared" si="37"/>
        <v>0</v>
      </c>
      <c r="Q101" s="88">
        <f t="shared" si="38"/>
        <v>0</v>
      </c>
    </row>
    <row r="102" spans="2:17" ht="15.5" x14ac:dyDescent="0.35">
      <c r="B102" s="106"/>
      <c r="E102" s="166"/>
      <c r="F102" s="166"/>
      <c r="G102" s="166"/>
      <c r="H102" s="177"/>
      <c r="I102" s="166"/>
      <c r="J102" s="166"/>
      <c r="K102" s="166"/>
      <c r="L102" s="166"/>
      <c r="M102" s="166"/>
      <c r="N102" s="166"/>
      <c r="P102" s="88">
        <f t="shared" si="37"/>
        <v>0</v>
      </c>
      <c r="Q102" s="88">
        <f t="shared" si="38"/>
        <v>0</v>
      </c>
    </row>
    <row r="103" spans="2:17" ht="15.5" x14ac:dyDescent="0.35">
      <c r="B103" s="106"/>
      <c r="E103" s="166"/>
      <c r="F103" s="166"/>
      <c r="G103" s="166"/>
      <c r="H103" s="177"/>
      <c r="I103" s="166"/>
      <c r="J103" s="166"/>
      <c r="K103" s="166"/>
      <c r="L103" s="166"/>
      <c r="M103" s="166"/>
      <c r="N103" s="166"/>
      <c r="P103" s="88">
        <f t="shared" si="37"/>
        <v>0</v>
      </c>
      <c r="Q103" s="88">
        <f t="shared" si="38"/>
        <v>0</v>
      </c>
    </row>
    <row r="104" spans="2:17" ht="15.5" x14ac:dyDescent="0.35">
      <c r="B104" s="106"/>
      <c r="E104" s="166"/>
      <c r="F104" s="166"/>
      <c r="G104" s="166"/>
      <c r="H104" s="177"/>
      <c r="I104" s="166"/>
      <c r="J104" s="166"/>
      <c r="K104" s="166"/>
      <c r="L104" s="166"/>
      <c r="M104" s="166"/>
      <c r="N104" s="166"/>
      <c r="P104" s="88">
        <f t="shared" si="37"/>
        <v>0</v>
      </c>
      <c r="Q104" s="88">
        <f t="shared" si="38"/>
        <v>0</v>
      </c>
    </row>
    <row r="105" spans="2:17" ht="15.5" x14ac:dyDescent="0.35">
      <c r="B105" s="106"/>
      <c r="E105" s="166">
        <v>195660000</v>
      </c>
      <c r="F105" s="166">
        <f>SUM(E105:E115)</f>
        <v>608240775</v>
      </c>
      <c r="G105" s="166"/>
      <c r="H105" s="177"/>
      <c r="I105" s="166"/>
      <c r="J105" s="166"/>
      <c r="K105" s="166"/>
      <c r="L105" s="166"/>
      <c r="M105" s="166"/>
      <c r="N105" s="166"/>
      <c r="P105" s="88">
        <f t="shared" si="37"/>
        <v>16305000</v>
      </c>
      <c r="Q105" s="88">
        <f t="shared" si="38"/>
        <v>32610000</v>
      </c>
    </row>
    <row r="106" spans="2:17" ht="15.5" x14ac:dyDescent="0.35">
      <c r="B106" s="106"/>
      <c r="E106" s="166">
        <v>1540000</v>
      </c>
      <c r="F106" s="166"/>
      <c r="G106" s="166"/>
      <c r="H106" s="177"/>
      <c r="I106" s="166"/>
      <c r="J106" s="166"/>
      <c r="K106" s="166"/>
      <c r="L106" s="166"/>
      <c r="M106" s="166"/>
      <c r="N106" s="166"/>
      <c r="P106" s="88">
        <f t="shared" si="37"/>
        <v>128333.33333333333</v>
      </c>
      <c r="Q106" s="88">
        <f t="shared" si="38"/>
        <v>256666.66666666666</v>
      </c>
    </row>
    <row r="107" spans="2:17" ht="15.5" x14ac:dyDescent="0.35">
      <c r="B107" s="106"/>
      <c r="E107" s="166">
        <v>20000000</v>
      </c>
      <c r="F107" s="166"/>
      <c r="G107" s="166"/>
      <c r="H107" s="177"/>
      <c r="I107" s="166"/>
      <c r="J107" s="166"/>
      <c r="K107" s="166"/>
      <c r="L107" s="166"/>
      <c r="M107" s="166"/>
      <c r="N107" s="166"/>
      <c r="P107" s="88">
        <f t="shared" si="37"/>
        <v>1666666.6666666667</v>
      </c>
      <c r="Q107" s="88">
        <f t="shared" si="38"/>
        <v>3333333.3333333335</v>
      </c>
    </row>
    <row r="108" spans="2:17" ht="15.5" x14ac:dyDescent="0.35">
      <c r="B108" s="106"/>
      <c r="E108" s="166">
        <v>70000000</v>
      </c>
      <c r="F108" s="166"/>
      <c r="G108" s="166"/>
      <c r="H108" s="177"/>
      <c r="I108" s="166"/>
      <c r="J108" s="166"/>
      <c r="K108" s="166"/>
      <c r="L108" s="166"/>
      <c r="M108" s="166"/>
      <c r="N108" s="166"/>
      <c r="P108" s="88">
        <f t="shared" si="37"/>
        <v>5833333.333333333</v>
      </c>
      <c r="Q108" s="88">
        <f t="shared" si="38"/>
        <v>11666666.666666666</v>
      </c>
    </row>
    <row r="109" spans="2:17" ht="15.5" x14ac:dyDescent="0.35">
      <c r="B109" s="106"/>
      <c r="E109" s="166">
        <v>247801375</v>
      </c>
      <c r="F109" s="166"/>
      <c r="G109" s="166"/>
      <c r="H109" s="177"/>
      <c r="I109" s="166">
        <v>12300</v>
      </c>
      <c r="J109" s="166"/>
      <c r="K109" s="166"/>
      <c r="L109" s="166"/>
      <c r="M109" s="166"/>
      <c r="N109" s="166"/>
      <c r="P109" s="88">
        <f t="shared" si="37"/>
        <v>20650114.583333332</v>
      </c>
      <c r="Q109" s="88">
        <f t="shared" si="38"/>
        <v>41300229.166666664</v>
      </c>
    </row>
    <row r="110" spans="2:17" ht="15.5" x14ac:dyDescent="0.35">
      <c r="B110" s="106"/>
      <c r="E110" s="166">
        <v>3439400</v>
      </c>
      <c r="F110" s="166"/>
      <c r="G110" s="166"/>
      <c r="H110" s="177"/>
      <c r="I110" s="166">
        <v>3400</v>
      </c>
      <c r="J110" s="166"/>
      <c r="K110" s="166"/>
      <c r="L110" s="166"/>
      <c r="M110" s="166"/>
      <c r="N110" s="166"/>
      <c r="P110" s="88">
        <f t="shared" si="37"/>
        <v>286616.66666666669</v>
      </c>
      <c r="Q110" s="88">
        <f t="shared" si="38"/>
        <v>573233.33333333337</v>
      </c>
    </row>
    <row r="111" spans="2:17" ht="15.5" x14ac:dyDescent="0.35">
      <c r="B111" s="106"/>
      <c r="E111" s="166">
        <v>25000000</v>
      </c>
      <c r="F111" s="166"/>
      <c r="G111" s="166"/>
      <c r="H111" s="177"/>
      <c r="I111" s="166">
        <v>12000</v>
      </c>
      <c r="J111" s="166"/>
      <c r="K111" s="166"/>
      <c r="L111" s="166"/>
      <c r="M111" s="166"/>
      <c r="N111" s="166"/>
      <c r="P111" s="88">
        <f t="shared" si="37"/>
        <v>2083333.3333333333</v>
      </c>
      <c r="Q111" s="88">
        <f t="shared" si="38"/>
        <v>4166666.6666666665</v>
      </c>
    </row>
    <row r="112" spans="2:17" ht="15.5" x14ac:dyDescent="0.35">
      <c r="B112" s="106"/>
      <c r="E112" s="166">
        <v>13500000</v>
      </c>
      <c r="F112" s="166"/>
      <c r="G112" s="166"/>
      <c r="H112" s="177"/>
      <c r="I112" s="166">
        <v>19200</v>
      </c>
      <c r="J112" s="166"/>
      <c r="K112" s="166"/>
      <c r="L112" s="166"/>
      <c r="M112" s="166"/>
      <c r="N112" s="166"/>
      <c r="P112" s="88">
        <f t="shared" si="37"/>
        <v>1125000</v>
      </c>
      <c r="Q112" s="88">
        <f t="shared" si="38"/>
        <v>2250000</v>
      </c>
    </row>
    <row r="113" spans="5:17" x14ac:dyDescent="0.35">
      <c r="E113" s="166">
        <v>4000000</v>
      </c>
      <c r="F113" s="166"/>
      <c r="G113" s="166"/>
      <c r="H113" s="177"/>
      <c r="I113" s="166">
        <v>1800</v>
      </c>
      <c r="J113" s="166"/>
      <c r="K113" s="166"/>
      <c r="L113" s="166"/>
      <c r="M113" s="166"/>
      <c r="N113" s="166"/>
      <c r="P113" s="88">
        <f t="shared" si="37"/>
        <v>333333.33333333331</v>
      </c>
      <c r="Q113" s="88">
        <f t="shared" si="38"/>
        <v>666666.66666666663</v>
      </c>
    </row>
    <row r="114" spans="5:17" x14ac:dyDescent="0.35">
      <c r="E114" s="166">
        <v>24600000</v>
      </c>
      <c r="F114" s="166"/>
      <c r="G114" s="166"/>
      <c r="H114" s="177"/>
      <c r="I114" s="166">
        <v>15300</v>
      </c>
      <c r="J114" s="166"/>
      <c r="K114" s="166"/>
      <c r="L114" s="166"/>
      <c r="M114" s="166"/>
      <c r="N114" s="166"/>
      <c r="P114" s="88">
        <f t="shared" si="37"/>
        <v>2050000</v>
      </c>
      <c r="Q114" s="88">
        <f t="shared" si="38"/>
        <v>4100000</v>
      </c>
    </row>
    <row r="115" spans="5:17" x14ac:dyDescent="0.35">
      <c r="E115" s="166">
        <v>2700000</v>
      </c>
      <c r="F115" s="166"/>
      <c r="G115" s="166"/>
      <c r="H115" s="177"/>
      <c r="I115" s="166">
        <f>SUM(I109:I114)</f>
        <v>64000</v>
      </c>
      <c r="J115" s="166"/>
      <c r="K115" s="166"/>
      <c r="L115" s="166"/>
      <c r="M115" s="166"/>
      <c r="N115" s="166"/>
      <c r="P115" s="88">
        <f t="shared" si="37"/>
        <v>225000</v>
      </c>
      <c r="Q115" s="88">
        <f t="shared" si="38"/>
        <v>450000</v>
      </c>
    </row>
    <row r="116" spans="5:17" x14ac:dyDescent="0.35">
      <c r="E116" s="166"/>
      <c r="F116" s="166"/>
      <c r="G116" s="166"/>
      <c r="H116" s="177"/>
      <c r="I116" s="166"/>
      <c r="J116" s="166"/>
      <c r="K116" s="166"/>
      <c r="L116" s="166"/>
      <c r="M116" s="166"/>
      <c r="N116" s="166"/>
      <c r="P116" s="88">
        <f t="shared" si="37"/>
        <v>0</v>
      </c>
      <c r="Q116" s="88">
        <f t="shared" si="38"/>
        <v>0</v>
      </c>
    </row>
    <row r="117" spans="5:17" x14ac:dyDescent="0.35">
      <c r="E117" s="166">
        <v>81690000</v>
      </c>
      <c r="F117" s="166">
        <f>SUM(E117:E122)</f>
        <v>186049400</v>
      </c>
      <c r="G117" s="166"/>
      <c r="H117" s="177"/>
      <c r="I117" s="166"/>
      <c r="J117" s="166"/>
      <c r="K117" s="166"/>
      <c r="L117" s="166"/>
      <c r="M117" s="166"/>
      <c r="N117" s="166"/>
      <c r="P117" s="88">
        <f t="shared" si="37"/>
        <v>6807500</v>
      </c>
      <c r="Q117" s="88">
        <f t="shared" si="38"/>
        <v>13615000</v>
      </c>
    </row>
    <row r="118" spans="5:17" x14ac:dyDescent="0.35">
      <c r="E118" s="166">
        <v>52126400</v>
      </c>
      <c r="F118" s="166"/>
      <c r="G118" s="166"/>
      <c r="H118" s="177"/>
      <c r="I118" s="166"/>
      <c r="J118" s="166"/>
      <c r="K118" s="166"/>
      <c r="L118" s="166"/>
      <c r="M118" s="166"/>
      <c r="N118" s="166"/>
      <c r="P118" s="88">
        <f t="shared" si="37"/>
        <v>4343866.666666667</v>
      </c>
      <c r="Q118" s="88">
        <f t="shared" si="38"/>
        <v>8687733.333333334</v>
      </c>
    </row>
    <row r="119" spans="5:17" x14ac:dyDescent="0.35">
      <c r="E119" s="166">
        <v>29158000</v>
      </c>
      <c r="F119" s="166"/>
      <c r="G119" s="166"/>
      <c r="H119" s="177"/>
      <c r="I119" s="166"/>
      <c r="J119" s="166"/>
      <c r="K119" s="166"/>
      <c r="L119" s="166"/>
      <c r="M119" s="166"/>
      <c r="N119" s="166"/>
      <c r="P119" s="88">
        <f t="shared" si="37"/>
        <v>2429833.3333333335</v>
      </c>
      <c r="Q119" s="88">
        <f t="shared" si="38"/>
        <v>4859666.666666667</v>
      </c>
    </row>
    <row r="120" spans="5:17" x14ac:dyDescent="0.35">
      <c r="E120" s="166">
        <v>11825000</v>
      </c>
      <c r="F120" s="166"/>
      <c r="G120" s="166"/>
      <c r="H120" s="177"/>
      <c r="I120" s="166"/>
      <c r="J120" s="166"/>
      <c r="K120" s="166"/>
      <c r="L120" s="166"/>
      <c r="M120" s="166"/>
      <c r="N120" s="166"/>
      <c r="P120" s="88">
        <f t="shared" si="37"/>
        <v>985416.66666666663</v>
      </c>
      <c r="Q120" s="88">
        <f t="shared" si="38"/>
        <v>1970833.3333333333</v>
      </c>
    </row>
    <row r="121" spans="5:17" x14ac:dyDescent="0.35">
      <c r="E121" s="166">
        <v>4050000</v>
      </c>
      <c r="F121" s="166"/>
      <c r="G121" s="166"/>
      <c r="H121" s="177"/>
      <c r="I121" s="166"/>
      <c r="J121" s="166"/>
      <c r="K121" s="166"/>
      <c r="L121" s="166"/>
      <c r="M121" s="166"/>
      <c r="N121" s="166"/>
      <c r="P121" s="88">
        <f t="shared" si="37"/>
        <v>337500</v>
      </c>
      <c r="Q121" s="88">
        <f t="shared" si="38"/>
        <v>675000</v>
      </c>
    </row>
    <row r="122" spans="5:17" x14ac:dyDescent="0.35">
      <c r="E122" s="166">
        <v>7200000</v>
      </c>
      <c r="F122" s="166"/>
      <c r="G122" s="166"/>
      <c r="H122" s="166"/>
      <c r="I122" s="166"/>
      <c r="J122" s="166"/>
      <c r="K122" s="166"/>
      <c r="L122" s="166"/>
      <c r="M122" s="166"/>
      <c r="N122" s="166"/>
      <c r="P122" s="88">
        <f t="shared" si="37"/>
        <v>600000</v>
      </c>
      <c r="Q122" s="88">
        <f t="shared" si="38"/>
        <v>1200000</v>
      </c>
    </row>
    <row r="123" spans="5:17" x14ac:dyDescent="0.35"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P123" s="88">
        <f t="shared" si="37"/>
        <v>0</v>
      </c>
      <c r="Q123" s="88">
        <f t="shared" si="38"/>
        <v>0</v>
      </c>
    </row>
    <row r="124" spans="5:17" x14ac:dyDescent="0.35">
      <c r="E124" s="166">
        <v>1000000</v>
      </c>
      <c r="F124" s="166">
        <f>SUM(E124:E127)</f>
        <v>403998000</v>
      </c>
      <c r="G124" s="166"/>
      <c r="H124" s="166"/>
      <c r="I124" s="166"/>
      <c r="J124" s="166"/>
      <c r="K124" s="166"/>
      <c r="L124" s="166"/>
      <c r="M124" s="166"/>
      <c r="N124" s="166"/>
    </row>
    <row r="125" spans="5:17" x14ac:dyDescent="0.35">
      <c r="E125" s="166">
        <v>125734000</v>
      </c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5:17" x14ac:dyDescent="0.35">
      <c r="E126" s="166">
        <v>255000000</v>
      </c>
      <c r="F126" s="166"/>
      <c r="G126" s="166"/>
      <c r="H126" s="166"/>
      <c r="I126" s="166"/>
      <c r="J126" s="166"/>
      <c r="K126" s="166"/>
      <c r="L126" s="166"/>
      <c r="M126" s="166"/>
      <c r="N126" s="166"/>
    </row>
    <row r="127" spans="5:17" x14ac:dyDescent="0.35">
      <c r="E127" s="166">
        <v>22264000</v>
      </c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5:17" x14ac:dyDescent="0.35"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</row>
    <row r="129" spans="5:14" x14ac:dyDescent="0.35">
      <c r="E129" s="166">
        <v>38305000</v>
      </c>
      <c r="F129" s="166">
        <f>SUM(E129:E130)</f>
        <v>81435000</v>
      </c>
      <c r="G129" s="166"/>
      <c r="H129" s="166"/>
      <c r="I129" s="166"/>
      <c r="J129" s="166"/>
      <c r="K129" s="166"/>
      <c r="L129" s="166"/>
      <c r="M129" s="166"/>
      <c r="N129" s="166"/>
    </row>
    <row r="130" spans="5:14" x14ac:dyDescent="0.35">
      <c r="E130" s="166">
        <v>43130000</v>
      </c>
      <c r="F130" s="166"/>
      <c r="G130" s="166"/>
      <c r="H130" s="166"/>
      <c r="I130" s="166"/>
      <c r="J130" s="166"/>
      <c r="K130" s="166"/>
      <c r="L130" s="166"/>
      <c r="M130" s="166"/>
      <c r="N130" s="166"/>
    </row>
    <row r="131" spans="5:14" x14ac:dyDescent="0.35"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5:14" x14ac:dyDescent="0.35">
      <c r="E132" s="166">
        <v>16588000</v>
      </c>
      <c r="F132" s="166">
        <f>SUM(E132:E136)</f>
        <v>162391000</v>
      </c>
      <c r="G132" s="166"/>
      <c r="H132" s="166"/>
      <c r="I132" s="166"/>
      <c r="J132" s="166"/>
      <c r="K132" s="166"/>
      <c r="L132" s="166"/>
      <c r="M132" s="166"/>
      <c r="N132" s="166"/>
    </row>
    <row r="133" spans="5:14" x14ac:dyDescent="0.35">
      <c r="E133" s="166">
        <v>22900000</v>
      </c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5:14" x14ac:dyDescent="0.35">
      <c r="E134" s="166">
        <v>25300000</v>
      </c>
      <c r="F134" s="166"/>
      <c r="G134" s="166"/>
      <c r="H134" s="166"/>
      <c r="I134" s="166"/>
      <c r="J134" s="166"/>
      <c r="K134" s="166"/>
      <c r="L134" s="166"/>
      <c r="M134" s="166"/>
      <c r="N134" s="166"/>
    </row>
    <row r="135" spans="5:14" x14ac:dyDescent="0.35">
      <c r="E135" s="166">
        <v>28047000</v>
      </c>
      <c r="F135" s="166"/>
      <c r="G135" s="166"/>
      <c r="H135" s="166"/>
      <c r="I135" s="166"/>
      <c r="J135" s="166"/>
      <c r="K135" s="166"/>
      <c r="L135" s="166"/>
      <c r="M135" s="166"/>
      <c r="N135" s="166"/>
    </row>
    <row r="136" spans="5:14" x14ac:dyDescent="0.35">
      <c r="E136" s="166">
        <v>69556000</v>
      </c>
      <c r="F136" s="166"/>
      <c r="G136" s="166"/>
      <c r="H136" s="166"/>
      <c r="I136" s="166"/>
      <c r="J136" s="166"/>
      <c r="K136" s="166"/>
      <c r="L136" s="166"/>
      <c r="M136" s="166"/>
      <c r="N136" s="166"/>
    </row>
    <row r="137" spans="5:14" x14ac:dyDescent="0.35"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5:14" x14ac:dyDescent="0.35">
      <c r="E138" s="166">
        <v>10000000</v>
      </c>
      <c r="F138" s="166"/>
      <c r="G138" s="166"/>
      <c r="H138" s="166"/>
      <c r="I138" s="166"/>
      <c r="J138" s="166"/>
      <c r="K138" s="166"/>
      <c r="L138" s="166"/>
      <c r="M138" s="166"/>
      <c r="N138" s="166"/>
    </row>
    <row r="139" spans="5:14" x14ac:dyDescent="0.35">
      <c r="E139" s="166">
        <v>10000000</v>
      </c>
      <c r="F139" s="166"/>
      <c r="G139" s="166"/>
      <c r="H139" s="166"/>
      <c r="I139" s="166"/>
      <c r="J139" s="166"/>
      <c r="K139" s="166"/>
      <c r="L139" s="166"/>
      <c r="M139" s="166"/>
      <c r="N139" s="166"/>
    </row>
    <row r="140" spans="5:14" x14ac:dyDescent="0.35"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</row>
    <row r="141" spans="5:14" x14ac:dyDescent="0.35">
      <c r="E141" s="88">
        <v>61200000</v>
      </c>
    </row>
    <row r="143" spans="5:14" x14ac:dyDescent="0.35">
      <c r="E143" s="88">
        <v>5671000</v>
      </c>
    </row>
    <row r="144" spans="5:14" x14ac:dyDescent="0.35">
      <c r="E144" s="88">
        <v>151914500</v>
      </c>
    </row>
    <row r="146" spans="5:5" x14ac:dyDescent="0.35">
      <c r="E146" s="88">
        <v>5671000</v>
      </c>
    </row>
    <row r="147" spans="5:5" x14ac:dyDescent="0.35">
      <c r="E147" s="88">
        <v>122150000</v>
      </c>
    </row>
    <row r="148" spans="5:5" x14ac:dyDescent="0.35">
      <c r="E148" s="88">
        <v>27350000</v>
      </c>
    </row>
    <row r="149" spans="5:5" x14ac:dyDescent="0.35">
      <c r="E149" s="88">
        <v>25370000</v>
      </c>
    </row>
    <row r="150" spans="5:5" x14ac:dyDescent="0.35">
      <c r="E150" s="88">
        <v>14100000</v>
      </c>
    </row>
    <row r="151" spans="5:5" x14ac:dyDescent="0.35">
      <c r="E151" s="88">
        <v>54115000</v>
      </c>
    </row>
    <row r="152" spans="5:5" x14ac:dyDescent="0.35">
      <c r="E152" s="88">
        <v>34310000</v>
      </c>
    </row>
    <row r="154" spans="5:5" x14ac:dyDescent="0.35">
      <c r="E154" s="88">
        <v>57479800</v>
      </c>
    </row>
    <row r="155" spans="5:5" x14ac:dyDescent="0.35">
      <c r="E155" s="88">
        <v>35225000</v>
      </c>
    </row>
    <row r="157" spans="5:5" x14ac:dyDescent="0.35">
      <c r="E157" s="88">
        <v>26000000</v>
      </c>
    </row>
    <row r="158" spans="5:5" x14ac:dyDescent="0.35">
      <c r="E158" s="88">
        <v>23530208</v>
      </c>
    </row>
    <row r="160" spans="5:5" x14ac:dyDescent="0.35">
      <c r="E160" s="88">
        <f>SUM(E102:E159)</f>
        <v>2106200683</v>
      </c>
    </row>
    <row r="324" spans="17:17" x14ac:dyDescent="0.35">
      <c r="Q324" s="88" t="s">
        <v>154</v>
      </c>
    </row>
  </sheetData>
  <sheetProtection password="CB9B" sheet="1" objects="1" scenarios="1"/>
  <protectedRanges>
    <protectedRange sqref="I10:I86" name="Range1"/>
  </protectedRanges>
  <mergeCells count="38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3:D23"/>
    <mergeCell ref="B31:D31"/>
    <mergeCell ref="B32:D32"/>
    <mergeCell ref="B34:D34"/>
    <mergeCell ref="B37:D37"/>
    <mergeCell ref="B38:D38"/>
    <mergeCell ref="B39:D39"/>
    <mergeCell ref="B45:D45"/>
    <mergeCell ref="B49:D49"/>
    <mergeCell ref="B56:D56"/>
    <mergeCell ref="B59:D59"/>
    <mergeCell ref="J88:L88"/>
    <mergeCell ref="J89:L89"/>
    <mergeCell ref="J93:L93"/>
    <mergeCell ref="J94:L94"/>
    <mergeCell ref="B62:D62"/>
    <mergeCell ref="B63:D63"/>
    <mergeCell ref="B65:D65"/>
    <mergeCell ref="B73:D73"/>
    <mergeCell ref="B76:D76"/>
    <mergeCell ref="A86:D86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2"/>
  <sheetViews>
    <sheetView topLeftCell="A70" workbookViewId="0">
      <selection sqref="A1:N1"/>
    </sheetView>
  </sheetViews>
  <sheetFormatPr defaultColWidth="9.1796875" defaultRowHeight="14.5" x14ac:dyDescent="0.35"/>
  <cols>
    <col min="1" max="1" width="21.26953125" customWidth="1"/>
    <col min="2" max="2" width="50.1796875" customWidth="1"/>
    <col min="3" max="3" width="1.7265625" customWidth="1"/>
    <col min="4" max="4" width="6" customWidth="1"/>
    <col min="5" max="5" width="18.1796875" hidden="1" customWidth="1"/>
    <col min="6" max="6" width="16.453125" hidden="1" customWidth="1"/>
    <col min="7" max="7" width="19.81640625" customWidth="1"/>
    <col min="8" max="8" width="9.26953125" customWidth="1"/>
    <col min="9" max="9" width="18.54296875" customWidth="1"/>
    <col min="10" max="10" width="8.7265625" customWidth="1"/>
    <col min="11" max="11" width="8.453125" customWidth="1"/>
    <col min="12" max="12" width="14.81640625" customWidth="1"/>
    <col min="13" max="13" width="16.453125" customWidth="1"/>
    <col min="14" max="14" width="7.7265625" customWidth="1"/>
    <col min="15" max="15" width="21.453125" customWidth="1"/>
    <col min="16" max="16" width="23" customWidth="1"/>
  </cols>
  <sheetData>
    <row r="1" spans="1:16" ht="33.5" x14ac:dyDescent="0.85">
      <c r="A1" s="387" t="s">
        <v>148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  <c r="O1" s="66"/>
    </row>
    <row r="2" spans="1:16" ht="33.5" x14ac:dyDescent="0.85">
      <c r="A2" s="390" t="s">
        <v>155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  <c r="O2" s="66"/>
    </row>
    <row r="3" spans="1:16" x14ac:dyDescent="0.35">
      <c r="A3" s="67"/>
      <c r="B3" s="68"/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</row>
    <row r="4" spans="1:16" ht="15.5" x14ac:dyDescent="0.35">
      <c r="A4" s="1" t="s">
        <v>0</v>
      </c>
      <c r="B4" s="2"/>
      <c r="C4" s="3" t="s">
        <v>1</v>
      </c>
      <c r="D4" s="2" t="s">
        <v>2</v>
      </c>
      <c r="E4" s="4"/>
      <c r="F4" s="4"/>
      <c r="G4" s="5"/>
      <c r="H4" s="5"/>
      <c r="I4" s="5"/>
      <c r="J4" s="4"/>
      <c r="K4" s="4"/>
      <c r="L4" s="4"/>
      <c r="M4" s="4"/>
      <c r="N4" s="6"/>
      <c r="O4" s="4"/>
    </row>
    <row r="5" spans="1:16" ht="15.5" x14ac:dyDescent="0.35">
      <c r="A5" s="1" t="s">
        <v>3</v>
      </c>
      <c r="B5" s="2"/>
      <c r="C5" s="3" t="s">
        <v>1</v>
      </c>
      <c r="D5" s="7" t="s">
        <v>156</v>
      </c>
      <c r="E5" s="4"/>
      <c r="F5" s="4"/>
      <c r="G5" s="5"/>
      <c r="H5" s="5"/>
      <c r="I5" s="5"/>
      <c r="J5" s="4"/>
      <c r="K5" s="4"/>
      <c r="L5" s="4"/>
      <c r="M5" s="4"/>
      <c r="N5" s="6"/>
      <c r="O5" s="4"/>
    </row>
    <row r="6" spans="1:16" ht="15.5" x14ac:dyDescent="0.35">
      <c r="A6" s="393" t="s">
        <v>4</v>
      </c>
      <c r="B6" s="396" t="s">
        <v>5</v>
      </c>
      <c r="C6" s="396"/>
      <c r="D6" s="397"/>
      <c r="E6" s="402" t="s">
        <v>6</v>
      </c>
      <c r="F6" s="402" t="s">
        <v>7</v>
      </c>
      <c r="G6" s="402" t="s">
        <v>8</v>
      </c>
      <c r="H6" s="402" t="s">
        <v>9</v>
      </c>
      <c r="I6" s="405" t="s">
        <v>10</v>
      </c>
      <c r="J6" s="405"/>
      <c r="K6" s="405"/>
      <c r="L6" s="405"/>
      <c r="M6" s="402" t="s">
        <v>11</v>
      </c>
      <c r="N6" s="406" t="s">
        <v>12</v>
      </c>
      <c r="O6" s="8"/>
    </row>
    <row r="7" spans="1:16" ht="15.5" x14ac:dyDescent="0.35">
      <c r="A7" s="394"/>
      <c r="B7" s="398"/>
      <c r="C7" s="398"/>
      <c r="D7" s="399"/>
      <c r="E7" s="403"/>
      <c r="F7" s="403"/>
      <c r="G7" s="403"/>
      <c r="H7" s="403"/>
      <c r="I7" s="405" t="s">
        <v>13</v>
      </c>
      <c r="J7" s="405"/>
      <c r="K7" s="409" t="s">
        <v>14</v>
      </c>
      <c r="L7" s="409"/>
      <c r="M7" s="403"/>
      <c r="N7" s="407"/>
      <c r="O7" s="8"/>
    </row>
    <row r="8" spans="1:16" ht="15.5" x14ac:dyDescent="0.35">
      <c r="A8" s="395"/>
      <c r="B8" s="400"/>
      <c r="C8" s="400"/>
      <c r="D8" s="401"/>
      <c r="E8" s="404"/>
      <c r="F8" s="404"/>
      <c r="G8" s="404"/>
      <c r="H8" s="404"/>
      <c r="I8" s="9" t="s">
        <v>15</v>
      </c>
      <c r="J8" s="9" t="s">
        <v>16</v>
      </c>
      <c r="K8" s="9" t="s">
        <v>16</v>
      </c>
      <c r="L8" s="10" t="s">
        <v>17</v>
      </c>
      <c r="M8" s="404"/>
      <c r="N8" s="408"/>
      <c r="O8" s="8"/>
    </row>
    <row r="9" spans="1:16" ht="15.5" x14ac:dyDescent="0.35">
      <c r="A9" s="11"/>
      <c r="B9" s="12" t="s">
        <v>18</v>
      </c>
      <c r="C9" s="13"/>
      <c r="D9" s="14"/>
      <c r="E9" s="15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6" ht="15.5" x14ac:dyDescent="0.35">
      <c r="A10" s="18" t="s">
        <v>19</v>
      </c>
      <c r="B10" s="19" t="s">
        <v>20</v>
      </c>
      <c r="C10" s="20"/>
      <c r="D10" s="21"/>
      <c r="E10" s="22">
        <f>SUM(E11:E21)</f>
        <v>615553002.72000003</v>
      </c>
      <c r="F10" s="22">
        <f t="shared" ref="F10:M10" si="0">SUM(F11:F21)</f>
        <v>23478000</v>
      </c>
      <c r="G10" s="22">
        <f t="shared" si="0"/>
        <v>639031002.72000003</v>
      </c>
      <c r="H10" s="22">
        <f t="shared" si="0"/>
        <v>8.035261348030085</v>
      </c>
      <c r="I10" s="22">
        <f t="shared" si="0"/>
        <v>396951093</v>
      </c>
      <c r="J10" s="22">
        <f t="shared" si="0"/>
        <v>879.38211332938897</v>
      </c>
      <c r="K10" s="22">
        <f t="shared" si="0"/>
        <v>998.89015067877051</v>
      </c>
      <c r="L10" s="22">
        <f t="shared" si="0"/>
        <v>6.5950034511097551</v>
      </c>
      <c r="M10" s="22">
        <f t="shared" si="0"/>
        <v>242079909.72</v>
      </c>
      <c r="N10" s="23"/>
      <c r="O10" s="24"/>
    </row>
    <row r="11" spans="1:16" ht="15.5" x14ac:dyDescent="0.35">
      <c r="A11" s="25" t="s">
        <v>21</v>
      </c>
      <c r="B11" s="26" t="s">
        <v>22</v>
      </c>
      <c r="C11" s="27"/>
      <c r="D11" s="28"/>
      <c r="E11" s="29">
        <v>195960000</v>
      </c>
      <c r="F11" s="30">
        <f>G11-E11</f>
        <v>0</v>
      </c>
      <c r="G11" s="30">
        <v>195960000</v>
      </c>
      <c r="H11" s="31">
        <f>G11/$G$74*100</f>
        <v>2.4640272648084696</v>
      </c>
      <c r="I11" s="32">
        <v>52561343</v>
      </c>
      <c r="J11" s="33">
        <f>I11/G11*100</f>
        <v>26.822485711369666</v>
      </c>
      <c r="K11" s="34">
        <f>11/12*100</f>
        <v>91.666666666666657</v>
      </c>
      <c r="L11" s="35">
        <f>K11*H11/100</f>
        <v>2.2586916594077637</v>
      </c>
      <c r="M11" s="29">
        <f>G11-I11</f>
        <v>143398657</v>
      </c>
      <c r="N11" s="36"/>
      <c r="O11" s="37"/>
      <c r="P11" s="38">
        <v>1</v>
      </c>
    </row>
    <row r="12" spans="1:16" ht="15.5" x14ac:dyDescent="0.35">
      <c r="A12" s="25" t="s">
        <v>23</v>
      </c>
      <c r="B12" s="380" t="s">
        <v>24</v>
      </c>
      <c r="C12" s="381"/>
      <c r="D12" s="382"/>
      <c r="E12" s="29">
        <v>1400000</v>
      </c>
      <c r="F12" s="30">
        <f t="shared" ref="F12:F73" si="1">G12-E12</f>
        <v>0</v>
      </c>
      <c r="G12" s="30">
        <v>1400000</v>
      </c>
      <c r="H12" s="31">
        <f>G12/$G$74*100</f>
        <v>1.7603787358296884E-2</v>
      </c>
      <c r="I12" s="32">
        <v>878600</v>
      </c>
      <c r="J12" s="33">
        <f t="shared" ref="J12:J74" si="2">I12/G12*100</f>
        <v>62.757142857142853</v>
      </c>
      <c r="K12" s="34">
        <f>1*100</f>
        <v>100</v>
      </c>
      <c r="L12" s="35">
        <f t="shared" ref="L12:L41" si="3">K12*H12/100</f>
        <v>1.7603787358296884E-2</v>
      </c>
      <c r="M12" s="29">
        <f t="shared" ref="M12:M38" si="4">G12-I12</f>
        <v>521400</v>
      </c>
      <c r="N12" s="30"/>
      <c r="O12" s="37"/>
      <c r="P12" s="38">
        <v>2</v>
      </c>
    </row>
    <row r="13" spans="1:16" ht="15.5" x14ac:dyDescent="0.35">
      <c r="A13" s="25" t="s">
        <v>25</v>
      </c>
      <c r="B13" s="39" t="s">
        <v>26</v>
      </c>
      <c r="C13" s="27"/>
      <c r="D13" s="28"/>
      <c r="E13" s="29">
        <v>71720000</v>
      </c>
      <c r="F13" s="30">
        <f t="shared" si="1"/>
        <v>-44194750</v>
      </c>
      <c r="G13" s="30">
        <v>27525250</v>
      </c>
      <c r="H13" s="31">
        <f t="shared" ref="H13:H73" si="5">G13/$G$74*100</f>
        <v>0.34610617713140091</v>
      </c>
      <c r="I13" s="32">
        <v>25814000</v>
      </c>
      <c r="J13" s="33">
        <f t="shared" si="2"/>
        <v>93.782981081007449</v>
      </c>
      <c r="K13" s="34">
        <f>0.9*100</f>
        <v>90</v>
      </c>
      <c r="L13" s="35">
        <f t="shared" si="3"/>
        <v>0.31149555941826079</v>
      </c>
      <c r="M13" s="29">
        <f t="shared" si="4"/>
        <v>1711250</v>
      </c>
      <c r="N13" s="30"/>
      <c r="O13" s="37"/>
      <c r="P13" s="38">
        <v>3</v>
      </c>
    </row>
    <row r="14" spans="1:16" ht="15.5" x14ac:dyDescent="0.35">
      <c r="A14" s="25" t="s">
        <v>27</v>
      </c>
      <c r="B14" s="39" t="s">
        <v>28</v>
      </c>
      <c r="C14" s="27"/>
      <c r="D14" s="28"/>
      <c r="E14" s="29">
        <v>5220200</v>
      </c>
      <c r="F14" s="30">
        <f t="shared" si="1"/>
        <v>0</v>
      </c>
      <c r="G14" s="30">
        <v>5220200</v>
      </c>
      <c r="H14" s="31">
        <f t="shared" si="5"/>
        <v>6.5639493405558136E-2</v>
      </c>
      <c r="I14" s="32">
        <v>5196200</v>
      </c>
      <c r="J14" s="33">
        <f t="shared" si="2"/>
        <v>99.540247500095774</v>
      </c>
      <c r="K14" s="34">
        <f>1*100</f>
        <v>100</v>
      </c>
      <c r="L14" s="35">
        <f t="shared" si="3"/>
        <v>6.5639493405558136E-2</v>
      </c>
      <c r="M14" s="29">
        <f t="shared" si="4"/>
        <v>24000</v>
      </c>
      <c r="N14" s="30"/>
      <c r="O14" s="37"/>
      <c r="P14" s="38">
        <v>4</v>
      </c>
    </row>
    <row r="15" spans="1:16" ht="15.5" x14ac:dyDescent="0.35">
      <c r="A15" s="25" t="s">
        <v>29</v>
      </c>
      <c r="B15" s="380" t="s">
        <v>30</v>
      </c>
      <c r="C15" s="381"/>
      <c r="D15" s="382"/>
      <c r="E15" s="29">
        <v>3240000</v>
      </c>
      <c r="F15" s="30">
        <f t="shared" si="1"/>
        <v>0</v>
      </c>
      <c r="G15" s="29">
        <v>3240000</v>
      </c>
      <c r="H15" s="31">
        <f t="shared" si="5"/>
        <v>4.0740193600629929E-2</v>
      </c>
      <c r="I15" s="32">
        <v>2400000</v>
      </c>
      <c r="J15" s="33">
        <f t="shared" si="2"/>
        <v>74.074074074074076</v>
      </c>
      <c r="K15" s="34">
        <f>11/12*100</f>
        <v>91.666666666666657</v>
      </c>
      <c r="L15" s="35">
        <f t="shared" si="3"/>
        <v>3.7345177467244098E-2</v>
      </c>
      <c r="M15" s="29">
        <f t="shared" si="4"/>
        <v>840000</v>
      </c>
      <c r="N15" s="30"/>
      <c r="O15" s="37"/>
      <c r="P15" s="38">
        <v>5</v>
      </c>
    </row>
    <row r="16" spans="1:16" ht="15.5" x14ac:dyDescent="0.35">
      <c r="A16" s="25" t="s">
        <v>31</v>
      </c>
      <c r="B16" s="39" t="s">
        <v>32</v>
      </c>
      <c r="C16" s="27"/>
      <c r="D16" s="28"/>
      <c r="E16" s="29">
        <v>12600000</v>
      </c>
      <c r="F16" s="30">
        <f t="shared" si="1"/>
        <v>0</v>
      </c>
      <c r="G16" s="29">
        <v>12600000</v>
      </c>
      <c r="H16" s="31">
        <f t="shared" si="5"/>
        <v>0.15843408622467195</v>
      </c>
      <c r="I16" s="32">
        <v>9000000</v>
      </c>
      <c r="J16" s="33">
        <f t="shared" si="2"/>
        <v>71.428571428571431</v>
      </c>
      <c r="K16" s="34">
        <f>J16</f>
        <v>71.428571428571431</v>
      </c>
      <c r="L16" s="35">
        <f t="shared" si="3"/>
        <v>0.11316720444619426</v>
      </c>
      <c r="M16" s="29">
        <f t="shared" si="4"/>
        <v>3600000</v>
      </c>
      <c r="N16" s="30"/>
      <c r="O16" s="37"/>
      <c r="P16" s="38">
        <v>6</v>
      </c>
    </row>
    <row r="17" spans="1:17" ht="15.5" x14ac:dyDescent="0.35">
      <c r="A17" s="25" t="s">
        <v>33</v>
      </c>
      <c r="B17" s="39" t="s">
        <v>34</v>
      </c>
      <c r="C17" s="27"/>
      <c r="D17" s="28"/>
      <c r="E17" s="29">
        <v>66600000</v>
      </c>
      <c r="F17" s="30">
        <f t="shared" si="1"/>
        <v>13200000</v>
      </c>
      <c r="G17" s="30">
        <v>79800000</v>
      </c>
      <c r="H17" s="31">
        <f t="shared" si="5"/>
        <v>1.0034158794229224</v>
      </c>
      <c r="I17" s="32">
        <v>74913050</v>
      </c>
      <c r="J17" s="33">
        <f t="shared" si="2"/>
        <v>93.876002506265664</v>
      </c>
      <c r="K17" s="34">
        <f>J17</f>
        <v>93.876002506265664</v>
      </c>
      <c r="L17" s="35">
        <f t="shared" si="3"/>
        <v>0.94196671611533034</v>
      </c>
      <c r="M17" s="29">
        <f t="shared" si="4"/>
        <v>4886950</v>
      </c>
      <c r="N17" s="30"/>
      <c r="O17" s="37"/>
      <c r="P17" s="38">
        <v>7</v>
      </c>
      <c r="Q17" s="38"/>
    </row>
    <row r="18" spans="1:17" ht="15.5" x14ac:dyDescent="0.35">
      <c r="A18" s="25" t="s">
        <v>35</v>
      </c>
      <c r="B18" s="39" t="s">
        <v>36</v>
      </c>
      <c r="C18" s="27"/>
      <c r="D18" s="28"/>
      <c r="E18" s="29">
        <v>219175200</v>
      </c>
      <c r="F18" s="30">
        <f t="shared" si="1"/>
        <v>53490000</v>
      </c>
      <c r="G18" s="30">
        <v>272665200</v>
      </c>
      <c r="H18" s="31">
        <f t="shared" si="5"/>
        <v>3.4285287148624937</v>
      </c>
      <c r="I18" s="32">
        <v>187009000</v>
      </c>
      <c r="J18" s="33">
        <f t="shared" si="2"/>
        <v>68.585576743933586</v>
      </c>
      <c r="K18" s="34">
        <f>J18</f>
        <v>68.585576743933586</v>
      </c>
      <c r="L18" s="35">
        <f>K18*H18/100</f>
        <v>2.3514761929198156</v>
      </c>
      <c r="M18" s="29">
        <f t="shared" si="4"/>
        <v>85656200</v>
      </c>
      <c r="N18" s="30"/>
      <c r="O18" s="37"/>
      <c r="P18" s="38">
        <v>8</v>
      </c>
    </row>
    <row r="19" spans="1:17" ht="15.5" x14ac:dyDescent="0.35">
      <c r="A19" s="25" t="s">
        <v>37</v>
      </c>
      <c r="B19" s="39" t="s">
        <v>38</v>
      </c>
      <c r="C19" s="27"/>
      <c r="D19" s="28"/>
      <c r="E19" s="29">
        <v>24828102.719999999</v>
      </c>
      <c r="F19" s="30">
        <f t="shared" si="1"/>
        <v>0</v>
      </c>
      <c r="G19" s="29">
        <v>24828102.719999999</v>
      </c>
      <c r="H19" s="31">
        <f t="shared" si="5"/>
        <v>0.31219188628059458</v>
      </c>
      <c r="I19" s="32">
        <v>24827400</v>
      </c>
      <c r="J19" s="33">
        <f t="shared" si="2"/>
        <v>99.997169658882427</v>
      </c>
      <c r="K19" s="34">
        <f>1*100</f>
        <v>100</v>
      </c>
      <c r="L19" s="35">
        <f t="shared" si="3"/>
        <v>0.31219188628059458</v>
      </c>
      <c r="M19" s="29">
        <f t="shared" si="4"/>
        <v>702.71999999880791</v>
      </c>
      <c r="N19" s="30"/>
      <c r="O19" s="37"/>
      <c r="P19" s="38">
        <v>9</v>
      </c>
    </row>
    <row r="20" spans="1:17" ht="15.5" x14ac:dyDescent="0.35">
      <c r="A20" s="25" t="s">
        <v>39</v>
      </c>
      <c r="B20" s="39" t="s">
        <v>40</v>
      </c>
      <c r="C20" s="27"/>
      <c r="D20" s="28"/>
      <c r="E20" s="29">
        <v>11565000</v>
      </c>
      <c r="F20" s="30">
        <f t="shared" si="1"/>
        <v>982750</v>
      </c>
      <c r="G20" s="30">
        <v>12547750</v>
      </c>
      <c r="H20" s="31">
        <f t="shared" si="5"/>
        <v>0.15777708773219265</v>
      </c>
      <c r="I20" s="32">
        <v>11107000</v>
      </c>
      <c r="J20" s="33">
        <f t="shared" si="2"/>
        <v>88.517861768046075</v>
      </c>
      <c r="K20" s="34">
        <f>11/12*100</f>
        <v>91.666666666666657</v>
      </c>
      <c r="L20" s="35">
        <f t="shared" si="3"/>
        <v>0.14462899708784327</v>
      </c>
      <c r="M20" s="29">
        <f t="shared" si="4"/>
        <v>1440750</v>
      </c>
      <c r="N20" s="30"/>
      <c r="O20" s="37"/>
      <c r="P20" s="38">
        <v>10</v>
      </c>
    </row>
    <row r="21" spans="1:17" ht="15.5" x14ac:dyDescent="0.35">
      <c r="A21" s="25" t="s">
        <v>41</v>
      </c>
      <c r="B21" s="380" t="s">
        <v>42</v>
      </c>
      <c r="C21" s="381"/>
      <c r="D21" s="382"/>
      <c r="E21" s="29">
        <v>3244500</v>
      </c>
      <c r="F21" s="30">
        <f t="shared" si="1"/>
        <v>0</v>
      </c>
      <c r="G21" s="29">
        <v>3244500</v>
      </c>
      <c r="H21" s="31">
        <f t="shared" si="5"/>
        <v>4.0796777202853025E-2</v>
      </c>
      <c r="I21" s="32">
        <v>3244500</v>
      </c>
      <c r="J21" s="33">
        <f t="shared" si="2"/>
        <v>100</v>
      </c>
      <c r="K21" s="34">
        <v>100</v>
      </c>
      <c r="L21" s="35">
        <f t="shared" si="3"/>
        <v>4.0796777202853025E-2</v>
      </c>
      <c r="M21" s="29">
        <f t="shared" si="4"/>
        <v>0</v>
      </c>
      <c r="N21" s="30"/>
      <c r="O21" s="37"/>
      <c r="P21" s="38">
        <v>11</v>
      </c>
      <c r="Q21" s="38"/>
    </row>
    <row r="22" spans="1:17" ht="15.5" x14ac:dyDescent="0.35">
      <c r="A22" s="18" t="s">
        <v>43</v>
      </c>
      <c r="B22" s="377" t="s">
        <v>44</v>
      </c>
      <c r="C22" s="378"/>
      <c r="D22" s="379"/>
      <c r="E22" s="22">
        <f>SUM(E23:E29)</f>
        <v>405799400</v>
      </c>
      <c r="F22" s="22">
        <f t="shared" ref="F22:M22" si="6">SUM(F23:F29)</f>
        <v>7964000</v>
      </c>
      <c r="G22" s="22">
        <f>SUM(G23:G29)</f>
        <v>413763400</v>
      </c>
      <c r="H22" s="22">
        <f t="shared" si="6"/>
        <v>5.2027163644613834</v>
      </c>
      <c r="I22" s="22">
        <f t="shared" si="6"/>
        <v>402131883</v>
      </c>
      <c r="J22" s="22">
        <f t="shared" si="6"/>
        <v>673.5304918991643</v>
      </c>
      <c r="K22" s="22">
        <f t="shared" si="6"/>
        <v>690</v>
      </c>
      <c r="L22" s="22">
        <f t="shared" si="6"/>
        <v>5.1446107890798229</v>
      </c>
      <c r="M22" s="22">
        <f t="shared" si="6"/>
        <v>11631517</v>
      </c>
      <c r="N22" s="30"/>
      <c r="O22" s="37"/>
      <c r="P22" s="38"/>
    </row>
    <row r="23" spans="1:17" ht="15.5" x14ac:dyDescent="0.35">
      <c r="A23" s="25" t="s">
        <v>45</v>
      </c>
      <c r="B23" s="39" t="s">
        <v>46</v>
      </c>
      <c r="C23" s="27"/>
      <c r="D23" s="28"/>
      <c r="E23" s="29">
        <v>217099000</v>
      </c>
      <c r="F23" s="30">
        <f t="shared" si="1"/>
        <v>0</v>
      </c>
      <c r="G23" s="29">
        <v>217099000</v>
      </c>
      <c r="H23" s="31">
        <f t="shared" si="5"/>
        <v>2.7298318797849253</v>
      </c>
      <c r="I23" s="32">
        <v>217099000</v>
      </c>
      <c r="J23" s="33">
        <f t="shared" si="2"/>
        <v>100</v>
      </c>
      <c r="K23" s="34">
        <v>100</v>
      </c>
      <c r="L23" s="35">
        <f t="shared" si="3"/>
        <v>2.7298318797849253</v>
      </c>
      <c r="M23" s="29">
        <f t="shared" si="4"/>
        <v>0</v>
      </c>
      <c r="N23" s="30"/>
      <c r="O23" s="37"/>
      <c r="P23" s="38">
        <v>12</v>
      </c>
    </row>
    <row r="24" spans="1:17" ht="15.5" x14ac:dyDescent="0.35">
      <c r="A24" s="25" t="s">
        <v>47</v>
      </c>
      <c r="B24" s="39" t="s">
        <v>48</v>
      </c>
      <c r="C24" s="20"/>
      <c r="D24" s="21"/>
      <c r="E24" s="29">
        <v>35000000</v>
      </c>
      <c r="F24" s="30">
        <f t="shared" si="1"/>
        <v>0</v>
      </c>
      <c r="G24" s="29">
        <v>35000000</v>
      </c>
      <c r="H24" s="31">
        <f t="shared" si="5"/>
        <v>0.44009468395742213</v>
      </c>
      <c r="I24" s="32">
        <v>35000000</v>
      </c>
      <c r="J24" s="33">
        <f t="shared" si="2"/>
        <v>100</v>
      </c>
      <c r="K24" s="34">
        <v>100</v>
      </c>
      <c r="L24" s="35">
        <f t="shared" si="3"/>
        <v>0.44009468395742213</v>
      </c>
      <c r="M24" s="29">
        <f t="shared" si="4"/>
        <v>0</v>
      </c>
      <c r="N24" s="30"/>
      <c r="O24" s="37"/>
      <c r="P24" s="38">
        <v>13</v>
      </c>
    </row>
    <row r="25" spans="1:17" ht="15.5" x14ac:dyDescent="0.35">
      <c r="A25" s="25" t="s">
        <v>49</v>
      </c>
      <c r="B25" s="39" t="s">
        <v>50</v>
      </c>
      <c r="C25" s="27"/>
      <c r="D25" s="28"/>
      <c r="E25" s="29">
        <v>38246400</v>
      </c>
      <c r="F25" s="30">
        <f t="shared" si="1"/>
        <v>7964000</v>
      </c>
      <c r="G25" s="30">
        <v>46210400</v>
      </c>
      <c r="H25" s="31">
        <f t="shared" si="5"/>
        <v>0.58105575381560159</v>
      </c>
      <c r="I25" s="32">
        <v>34638883</v>
      </c>
      <c r="J25" s="33">
        <f t="shared" si="2"/>
        <v>74.959063327735748</v>
      </c>
      <c r="K25" s="34">
        <f>0.9*100</f>
        <v>90</v>
      </c>
      <c r="L25" s="35">
        <f t="shared" si="3"/>
        <v>0.52295017843404146</v>
      </c>
      <c r="M25" s="29">
        <f t="shared" si="4"/>
        <v>11571517</v>
      </c>
      <c r="N25" s="30"/>
      <c r="O25" s="37"/>
      <c r="P25" s="38">
        <v>14</v>
      </c>
    </row>
    <row r="26" spans="1:17" ht="15.5" x14ac:dyDescent="0.35">
      <c r="A26" s="25" t="s">
        <v>51</v>
      </c>
      <c r="B26" s="39" t="s">
        <v>52</v>
      </c>
      <c r="C26" s="27"/>
      <c r="D26" s="28"/>
      <c r="E26" s="29">
        <v>97064000</v>
      </c>
      <c r="F26" s="30">
        <f t="shared" si="1"/>
        <v>0</v>
      </c>
      <c r="G26" s="29">
        <v>97064000</v>
      </c>
      <c r="H26" s="31">
        <f t="shared" si="5"/>
        <v>1.2204957258183777</v>
      </c>
      <c r="I26" s="32">
        <v>97064000</v>
      </c>
      <c r="J26" s="33">
        <f t="shared" si="2"/>
        <v>100</v>
      </c>
      <c r="K26" s="34">
        <v>100</v>
      </c>
      <c r="L26" s="35">
        <f t="shared" si="3"/>
        <v>1.2204957258183777</v>
      </c>
      <c r="M26" s="29">
        <f t="shared" si="4"/>
        <v>0</v>
      </c>
      <c r="N26" s="30"/>
      <c r="O26" s="37"/>
      <c r="P26" s="38">
        <v>15</v>
      </c>
    </row>
    <row r="27" spans="1:17" ht="15.5" x14ac:dyDescent="0.35">
      <c r="A27" s="25" t="s">
        <v>53</v>
      </c>
      <c r="B27" s="39" t="s">
        <v>54</v>
      </c>
      <c r="C27" s="40"/>
      <c r="D27" s="41"/>
      <c r="E27" s="29">
        <v>10690000</v>
      </c>
      <c r="F27" s="30">
        <f t="shared" si="1"/>
        <v>0</v>
      </c>
      <c r="G27" s="29">
        <v>10690000</v>
      </c>
      <c r="H27" s="31">
        <f t="shared" si="5"/>
        <v>0.13441749061442407</v>
      </c>
      <c r="I27" s="32">
        <v>10690000</v>
      </c>
      <c r="J27" s="33">
        <f t="shared" si="2"/>
        <v>100</v>
      </c>
      <c r="K27" s="34">
        <v>100</v>
      </c>
      <c r="L27" s="35">
        <f t="shared" si="3"/>
        <v>0.13441749061442407</v>
      </c>
      <c r="M27" s="29">
        <f t="shared" si="4"/>
        <v>0</v>
      </c>
      <c r="N27" s="30"/>
      <c r="O27" s="37"/>
      <c r="P27" s="38">
        <v>16</v>
      </c>
    </row>
    <row r="28" spans="1:17" ht="15.5" x14ac:dyDescent="0.35">
      <c r="A28" s="25" t="s">
        <v>55</v>
      </c>
      <c r="B28" s="39" t="s">
        <v>56</v>
      </c>
      <c r="C28" s="40"/>
      <c r="D28" s="41"/>
      <c r="E28" s="29">
        <v>4200000</v>
      </c>
      <c r="F28" s="30">
        <f t="shared" si="1"/>
        <v>0</v>
      </c>
      <c r="G28" s="29">
        <v>4200000</v>
      </c>
      <c r="H28" s="31">
        <f t="shared" si="5"/>
        <v>5.2811362074890657E-2</v>
      </c>
      <c r="I28" s="32">
        <v>4140000</v>
      </c>
      <c r="J28" s="33">
        <f t="shared" si="2"/>
        <v>98.571428571428584</v>
      </c>
      <c r="K28" s="34">
        <v>100</v>
      </c>
      <c r="L28" s="35">
        <f t="shared" si="3"/>
        <v>5.2811362074890657E-2</v>
      </c>
      <c r="M28" s="29">
        <f t="shared" si="4"/>
        <v>60000</v>
      </c>
      <c r="N28" s="30"/>
      <c r="O28" s="37"/>
      <c r="P28" s="38">
        <v>17</v>
      </c>
    </row>
    <row r="29" spans="1:17" ht="15.5" x14ac:dyDescent="0.35">
      <c r="A29" s="25" t="s">
        <v>57</v>
      </c>
      <c r="B29" s="39" t="s">
        <v>58</v>
      </c>
      <c r="C29" s="40"/>
      <c r="D29" s="41"/>
      <c r="E29" s="29">
        <v>3500000</v>
      </c>
      <c r="F29" s="30">
        <f t="shared" si="1"/>
        <v>0</v>
      </c>
      <c r="G29" s="29">
        <v>3500000</v>
      </c>
      <c r="H29" s="31">
        <f t="shared" si="5"/>
        <v>4.4009468395742206E-2</v>
      </c>
      <c r="I29" s="32">
        <v>3500000</v>
      </c>
      <c r="J29" s="33">
        <f t="shared" si="2"/>
        <v>100</v>
      </c>
      <c r="K29" s="34">
        <v>100</v>
      </c>
      <c r="L29" s="35">
        <f t="shared" si="3"/>
        <v>4.4009468395742199E-2</v>
      </c>
      <c r="M29" s="29">
        <f t="shared" si="4"/>
        <v>0</v>
      </c>
      <c r="N29" s="30"/>
      <c r="O29" s="37"/>
      <c r="P29" s="38">
        <v>18</v>
      </c>
    </row>
    <row r="30" spans="1:17" ht="15.5" x14ac:dyDescent="0.35">
      <c r="A30" s="18" t="s">
        <v>59</v>
      </c>
      <c r="B30" s="377" t="s">
        <v>60</v>
      </c>
      <c r="C30" s="378"/>
      <c r="D30" s="379"/>
      <c r="E30" s="22">
        <f>SUM(E31)</f>
        <v>8012000</v>
      </c>
      <c r="F30" s="22">
        <f t="shared" ref="F30:N30" si="7">SUM(F31)</f>
        <v>0</v>
      </c>
      <c r="G30" s="22">
        <f t="shared" si="7"/>
        <v>8012000</v>
      </c>
      <c r="H30" s="22">
        <f t="shared" si="7"/>
        <v>0.10074396022476759</v>
      </c>
      <c r="I30" s="22">
        <f t="shared" si="7"/>
        <v>4227200</v>
      </c>
      <c r="J30" s="22">
        <f t="shared" si="7"/>
        <v>52.760858711932102</v>
      </c>
      <c r="K30" s="22">
        <f t="shared" si="7"/>
        <v>90</v>
      </c>
      <c r="L30" s="22">
        <f t="shared" si="7"/>
        <v>9.0669564202290831E-2</v>
      </c>
      <c r="M30" s="22">
        <f t="shared" si="7"/>
        <v>3784800</v>
      </c>
      <c r="N30" s="22">
        <f t="shared" si="7"/>
        <v>0</v>
      </c>
      <c r="O30" s="37"/>
      <c r="P30" s="38"/>
    </row>
    <row r="31" spans="1:17" ht="15.5" x14ac:dyDescent="0.35">
      <c r="A31" s="25" t="s">
        <v>61</v>
      </c>
      <c r="B31" s="380" t="s">
        <v>62</v>
      </c>
      <c r="C31" s="381"/>
      <c r="D31" s="382"/>
      <c r="E31" s="29">
        <v>8012000</v>
      </c>
      <c r="F31" s="30">
        <f t="shared" si="1"/>
        <v>0</v>
      </c>
      <c r="G31" s="29">
        <v>8012000</v>
      </c>
      <c r="H31" s="31">
        <f t="shared" si="5"/>
        <v>0.10074396022476759</v>
      </c>
      <c r="I31" s="32">
        <v>4227200</v>
      </c>
      <c r="J31" s="33">
        <f t="shared" si="2"/>
        <v>52.760858711932102</v>
      </c>
      <c r="K31" s="34">
        <v>90</v>
      </c>
      <c r="L31" s="35">
        <f t="shared" si="3"/>
        <v>9.0669564202290831E-2</v>
      </c>
      <c r="M31" s="29">
        <f t="shared" si="4"/>
        <v>3784800</v>
      </c>
      <c r="N31" s="30"/>
      <c r="O31" s="37"/>
      <c r="P31" s="38">
        <v>19</v>
      </c>
    </row>
    <row r="32" spans="1:17" ht="15.5" x14ac:dyDescent="0.35">
      <c r="A32" s="18" t="s">
        <v>63</v>
      </c>
      <c r="B32" s="377" t="s">
        <v>64</v>
      </c>
      <c r="C32" s="378"/>
      <c r="D32" s="379"/>
      <c r="E32" s="22">
        <f>E33</f>
        <v>120096000</v>
      </c>
      <c r="F32" s="22">
        <f t="shared" ref="F32:N32" si="8">F33</f>
        <v>27589000</v>
      </c>
      <c r="G32" s="22">
        <f t="shared" si="8"/>
        <v>147685000</v>
      </c>
      <c r="H32" s="22">
        <f t="shared" si="8"/>
        <v>1.857010954292911</v>
      </c>
      <c r="I32" s="22">
        <f t="shared" si="8"/>
        <v>123615000</v>
      </c>
      <c r="J32" s="22">
        <f t="shared" si="8"/>
        <v>83.701797745200935</v>
      </c>
      <c r="K32" s="22">
        <f t="shared" si="8"/>
        <v>91.666666666666657</v>
      </c>
      <c r="L32" s="22">
        <f t="shared" si="8"/>
        <v>1.7022600414351683</v>
      </c>
      <c r="M32" s="22">
        <f t="shared" si="8"/>
        <v>24070000</v>
      </c>
      <c r="N32" s="22">
        <f t="shared" si="8"/>
        <v>0</v>
      </c>
      <c r="O32" s="37"/>
      <c r="P32" s="38"/>
    </row>
    <row r="33" spans="1:16" ht="15.5" x14ac:dyDescent="0.35">
      <c r="A33" s="25" t="s">
        <v>65</v>
      </c>
      <c r="B33" s="39" t="s">
        <v>66</v>
      </c>
      <c r="C33" s="27"/>
      <c r="D33" s="28"/>
      <c r="E33" s="29">
        <v>120096000</v>
      </c>
      <c r="F33" s="30">
        <f t="shared" si="1"/>
        <v>27589000</v>
      </c>
      <c r="G33" s="30">
        <v>147685000</v>
      </c>
      <c r="H33" s="31">
        <f t="shared" si="5"/>
        <v>1.857010954292911</v>
      </c>
      <c r="I33" s="32">
        <v>123615000</v>
      </c>
      <c r="J33" s="33">
        <f t="shared" si="2"/>
        <v>83.701797745200935</v>
      </c>
      <c r="K33" s="34">
        <f>11/12*100</f>
        <v>91.666666666666657</v>
      </c>
      <c r="L33" s="35">
        <f t="shared" si="3"/>
        <v>1.7022600414351683</v>
      </c>
      <c r="M33" s="29">
        <f t="shared" si="4"/>
        <v>24070000</v>
      </c>
      <c r="N33" s="30"/>
      <c r="O33" s="37"/>
      <c r="P33" s="38">
        <v>20</v>
      </c>
    </row>
    <row r="34" spans="1:16" ht="15.5" x14ac:dyDescent="0.35">
      <c r="A34" s="18" t="s">
        <v>67</v>
      </c>
      <c r="B34" s="42" t="s">
        <v>68</v>
      </c>
      <c r="C34" s="27"/>
      <c r="D34" s="28"/>
      <c r="E34" s="22">
        <f>E35</f>
        <v>182530000</v>
      </c>
      <c r="F34" s="22">
        <f t="shared" ref="F34:N34" si="9">F35</f>
        <v>0</v>
      </c>
      <c r="G34" s="22">
        <f t="shared" si="9"/>
        <v>182530000</v>
      </c>
      <c r="H34" s="22">
        <f t="shared" si="9"/>
        <v>2.2951566475070928</v>
      </c>
      <c r="I34" s="22">
        <f t="shared" si="9"/>
        <v>182470000</v>
      </c>
      <c r="J34" s="22">
        <f t="shared" si="9"/>
        <v>99.967128691174054</v>
      </c>
      <c r="K34" s="22">
        <f t="shared" si="9"/>
        <v>100</v>
      </c>
      <c r="L34" s="22">
        <f t="shared" si="9"/>
        <v>2.2951566475070928</v>
      </c>
      <c r="M34" s="22">
        <f t="shared" si="9"/>
        <v>60000</v>
      </c>
      <c r="N34" s="22">
        <f t="shared" si="9"/>
        <v>0</v>
      </c>
      <c r="O34" s="37"/>
      <c r="P34" s="38"/>
    </row>
    <row r="35" spans="1:16" ht="15.5" x14ac:dyDescent="0.35">
      <c r="A35" s="25" t="s">
        <v>67</v>
      </c>
      <c r="B35" s="39" t="s">
        <v>69</v>
      </c>
      <c r="C35" s="27"/>
      <c r="D35" s="28"/>
      <c r="E35" s="29">
        <v>182530000</v>
      </c>
      <c r="F35" s="30">
        <f t="shared" si="1"/>
        <v>0</v>
      </c>
      <c r="G35" s="30">
        <v>182530000</v>
      </c>
      <c r="H35" s="31">
        <f t="shared" si="5"/>
        <v>2.2951566475070928</v>
      </c>
      <c r="I35" s="32">
        <v>182470000</v>
      </c>
      <c r="J35" s="33">
        <f t="shared" si="2"/>
        <v>99.967128691174054</v>
      </c>
      <c r="K35" s="34">
        <v>100</v>
      </c>
      <c r="L35" s="35">
        <f t="shared" si="3"/>
        <v>2.2951566475070928</v>
      </c>
      <c r="M35" s="29">
        <f t="shared" si="4"/>
        <v>60000</v>
      </c>
      <c r="N35" s="30"/>
      <c r="O35" s="37"/>
      <c r="P35" s="38">
        <v>21</v>
      </c>
    </row>
    <row r="36" spans="1:16" ht="15.5" x14ac:dyDescent="0.35">
      <c r="A36" s="18" t="s">
        <v>67</v>
      </c>
      <c r="B36" s="377" t="s">
        <v>70</v>
      </c>
      <c r="C36" s="378"/>
      <c r="D36" s="379"/>
      <c r="E36" s="22">
        <f>SUM(E37:E38)</f>
        <v>169650000</v>
      </c>
      <c r="F36" s="22">
        <f t="shared" ref="F36:N36" si="10">SUM(F37:F38)</f>
        <v>56845000</v>
      </c>
      <c r="G36" s="22">
        <f t="shared" si="10"/>
        <v>226495000</v>
      </c>
      <c r="H36" s="22">
        <f t="shared" si="10"/>
        <v>2.8479784412267519</v>
      </c>
      <c r="I36" s="22">
        <f t="shared" si="10"/>
        <v>183835000</v>
      </c>
      <c r="J36" s="22">
        <f t="shared" si="10"/>
        <v>159.98893177549729</v>
      </c>
      <c r="K36" s="22">
        <f t="shared" si="10"/>
        <v>181.66666666666666</v>
      </c>
      <c r="L36" s="22">
        <f t="shared" si="10"/>
        <v>2.6092071661346239</v>
      </c>
      <c r="M36" s="22">
        <f t="shared" si="10"/>
        <v>42660000</v>
      </c>
      <c r="N36" s="22">
        <f t="shared" si="10"/>
        <v>0</v>
      </c>
      <c r="O36" s="37"/>
      <c r="P36" s="38"/>
    </row>
    <row r="37" spans="1:16" ht="15.5" x14ac:dyDescent="0.35">
      <c r="A37" s="25" t="s">
        <v>71</v>
      </c>
      <c r="B37" s="380" t="s">
        <v>72</v>
      </c>
      <c r="C37" s="381"/>
      <c r="D37" s="382"/>
      <c r="E37" s="29">
        <v>162780000</v>
      </c>
      <c r="F37" s="30">
        <f t="shared" si="1"/>
        <v>56845000</v>
      </c>
      <c r="G37" s="29">
        <v>219625000</v>
      </c>
      <c r="H37" s="31">
        <f t="shared" si="5"/>
        <v>2.7615941418328238</v>
      </c>
      <c r="I37" s="32">
        <v>178425000</v>
      </c>
      <c r="J37" s="33">
        <f t="shared" si="2"/>
        <v>81.240751280591923</v>
      </c>
      <c r="K37" s="34">
        <f>11/12*100</f>
        <v>91.666666666666657</v>
      </c>
      <c r="L37" s="35">
        <f t="shared" si="3"/>
        <v>2.5314612966800882</v>
      </c>
      <c r="M37" s="29">
        <f t="shared" si="4"/>
        <v>41200000</v>
      </c>
      <c r="N37" s="30"/>
      <c r="O37" s="37"/>
      <c r="P37" s="38">
        <v>22</v>
      </c>
    </row>
    <row r="38" spans="1:16" ht="15.5" x14ac:dyDescent="0.35">
      <c r="A38" s="25" t="s">
        <v>73</v>
      </c>
      <c r="B38" s="380" t="s">
        <v>74</v>
      </c>
      <c r="C38" s="381"/>
      <c r="D38" s="382"/>
      <c r="E38" s="29">
        <v>6870000</v>
      </c>
      <c r="F38" s="30">
        <f t="shared" si="1"/>
        <v>0</v>
      </c>
      <c r="G38" s="30">
        <v>6870000</v>
      </c>
      <c r="H38" s="31">
        <f t="shared" si="5"/>
        <v>8.638429939392829E-2</v>
      </c>
      <c r="I38" s="32">
        <v>5410000</v>
      </c>
      <c r="J38" s="33">
        <f t="shared" si="2"/>
        <v>78.748180494905384</v>
      </c>
      <c r="K38" s="34">
        <f>0.9*100</f>
        <v>90</v>
      </c>
      <c r="L38" s="35">
        <f t="shared" si="3"/>
        <v>7.774586945453546E-2</v>
      </c>
      <c r="M38" s="29">
        <f t="shared" si="4"/>
        <v>1460000</v>
      </c>
      <c r="N38" s="30"/>
      <c r="O38" s="37"/>
      <c r="P38" s="38">
        <v>23</v>
      </c>
    </row>
    <row r="39" spans="1:16" ht="31" x14ac:dyDescent="0.35">
      <c r="A39" s="18" t="s">
        <v>75</v>
      </c>
      <c r="B39" s="42" t="s">
        <v>76</v>
      </c>
      <c r="C39" s="27"/>
      <c r="D39" s="28"/>
      <c r="E39" s="22">
        <f>SUM(E40:E41)</f>
        <v>34695500</v>
      </c>
      <c r="F39" s="22">
        <f t="shared" ref="F39:N39" si="11">SUM(F40:F41)</f>
        <v>0</v>
      </c>
      <c r="G39" s="22">
        <f t="shared" si="11"/>
        <v>34695500</v>
      </c>
      <c r="H39" s="22">
        <f t="shared" si="11"/>
        <v>0.43626586020699254</v>
      </c>
      <c r="I39" s="22">
        <f t="shared" si="11"/>
        <v>26771500</v>
      </c>
      <c r="J39" s="22">
        <f t="shared" si="11"/>
        <v>150.88480490904018</v>
      </c>
      <c r="K39" s="22">
        <f t="shared" si="11"/>
        <v>175</v>
      </c>
      <c r="L39" s="22">
        <f t="shared" si="11"/>
        <v>0.38554966318108491</v>
      </c>
      <c r="M39" s="22">
        <f t="shared" si="11"/>
        <v>7924000</v>
      </c>
      <c r="N39" s="22">
        <f t="shared" si="11"/>
        <v>0</v>
      </c>
      <c r="O39" s="37"/>
      <c r="P39" s="38"/>
    </row>
    <row r="40" spans="1:16" ht="15.5" x14ac:dyDescent="0.35">
      <c r="A40" s="25" t="s">
        <v>77</v>
      </c>
      <c r="B40" s="39" t="s">
        <v>78</v>
      </c>
      <c r="C40" s="20"/>
      <c r="D40" s="21"/>
      <c r="E40" s="29">
        <v>18562000</v>
      </c>
      <c r="F40" s="30">
        <f t="shared" si="1"/>
        <v>0</v>
      </c>
      <c r="G40" s="30">
        <v>18562000</v>
      </c>
      <c r="H40" s="31">
        <f t="shared" si="5"/>
        <v>0.23340107210336197</v>
      </c>
      <c r="I40" s="32">
        <v>18562000</v>
      </c>
      <c r="J40" s="33">
        <f t="shared" si="2"/>
        <v>100</v>
      </c>
      <c r="K40" s="34">
        <v>100</v>
      </c>
      <c r="L40" s="35">
        <f t="shared" si="3"/>
        <v>0.23340107210336197</v>
      </c>
      <c r="M40" s="29">
        <f t="shared" ref="M40:M41" si="12">E40-I40</f>
        <v>0</v>
      </c>
      <c r="N40" s="30"/>
      <c r="O40" s="37"/>
      <c r="P40" s="38">
        <v>24</v>
      </c>
    </row>
    <row r="41" spans="1:16" ht="15.5" x14ac:dyDescent="0.35">
      <c r="A41" s="25" t="s">
        <v>79</v>
      </c>
      <c r="B41" s="39" t="s">
        <v>80</v>
      </c>
      <c r="C41" s="20"/>
      <c r="D41" s="21"/>
      <c r="E41" s="29">
        <v>16133500</v>
      </c>
      <c r="F41" s="30">
        <f t="shared" si="1"/>
        <v>0</v>
      </c>
      <c r="G41" s="30">
        <f>E41</f>
        <v>16133500</v>
      </c>
      <c r="H41" s="31">
        <f t="shared" si="5"/>
        <v>0.20286478810363057</v>
      </c>
      <c r="I41" s="32">
        <v>8209500</v>
      </c>
      <c r="J41" s="33">
        <f t="shared" si="2"/>
        <v>50.884804909040191</v>
      </c>
      <c r="K41" s="34">
        <f>0.75*100</f>
        <v>75</v>
      </c>
      <c r="L41" s="35">
        <f t="shared" si="3"/>
        <v>0.15214859107772294</v>
      </c>
      <c r="M41" s="29">
        <f t="shared" si="12"/>
        <v>7924000</v>
      </c>
      <c r="N41" s="30"/>
      <c r="O41" s="37"/>
      <c r="P41" s="38">
        <v>25</v>
      </c>
    </row>
    <row r="42" spans="1:16" ht="31" x14ac:dyDescent="0.35">
      <c r="A42" s="18" t="s">
        <v>81</v>
      </c>
      <c r="B42" s="42" t="s">
        <v>82</v>
      </c>
      <c r="C42" s="27"/>
      <c r="D42" s="28"/>
      <c r="E42" s="22">
        <f>E43</f>
        <v>184580000</v>
      </c>
      <c r="F42" s="22">
        <f t="shared" ref="F42:N42" si="13">F43</f>
        <v>0</v>
      </c>
      <c r="G42" s="22">
        <f t="shared" si="13"/>
        <v>184580000</v>
      </c>
      <c r="H42" s="22">
        <f t="shared" si="13"/>
        <v>2.3209336218531709</v>
      </c>
      <c r="I42" s="22">
        <f t="shared" si="13"/>
        <v>184580000</v>
      </c>
      <c r="J42" s="22">
        <f t="shared" si="13"/>
        <v>100</v>
      </c>
      <c r="K42" s="22">
        <f t="shared" si="13"/>
        <v>100</v>
      </c>
      <c r="L42" s="22">
        <f t="shared" si="13"/>
        <v>2.3209336218531709</v>
      </c>
      <c r="M42" s="22">
        <f t="shared" si="13"/>
        <v>0</v>
      </c>
      <c r="N42" s="22">
        <f t="shared" si="13"/>
        <v>0</v>
      </c>
      <c r="O42" s="37"/>
      <c r="P42" s="38"/>
    </row>
    <row r="43" spans="1:16" ht="15.5" x14ac:dyDescent="0.35">
      <c r="A43" s="25" t="s">
        <v>83</v>
      </c>
      <c r="B43" s="39" t="s">
        <v>84</v>
      </c>
      <c r="C43" s="27"/>
      <c r="D43" s="28"/>
      <c r="E43" s="29">
        <v>184580000</v>
      </c>
      <c r="F43" s="30">
        <f t="shared" si="1"/>
        <v>0</v>
      </c>
      <c r="G43" s="29">
        <v>184580000</v>
      </c>
      <c r="H43" s="31">
        <f t="shared" si="5"/>
        <v>2.3209336218531709</v>
      </c>
      <c r="I43" s="32">
        <v>184580000</v>
      </c>
      <c r="J43" s="33">
        <f t="shared" si="2"/>
        <v>100</v>
      </c>
      <c r="K43" s="34">
        <v>100</v>
      </c>
      <c r="L43" s="35">
        <f t="shared" ref="L43" si="14">K43*H43/100</f>
        <v>2.3209336218531709</v>
      </c>
      <c r="M43" s="29">
        <f t="shared" ref="M43" si="15">G43-I43</f>
        <v>0</v>
      </c>
      <c r="N43" s="30"/>
      <c r="O43" s="37"/>
      <c r="P43" s="38">
        <v>26</v>
      </c>
    </row>
    <row r="44" spans="1:16" ht="15.5" x14ac:dyDescent="0.35">
      <c r="A44" s="18" t="s">
        <v>85</v>
      </c>
      <c r="B44" s="377" t="s">
        <v>86</v>
      </c>
      <c r="C44" s="378"/>
      <c r="D44" s="379"/>
      <c r="E44" s="22">
        <f>SUM(E45:E48)</f>
        <v>116499000</v>
      </c>
      <c r="F44" s="22">
        <f t="shared" ref="F44:N44" si="16">SUM(F45:F48)</f>
        <v>7394000</v>
      </c>
      <c r="G44" s="22">
        <f t="shared" si="16"/>
        <v>123893000</v>
      </c>
      <c r="H44" s="22">
        <f t="shared" si="16"/>
        <v>1.5578471622724828</v>
      </c>
      <c r="I44" s="22">
        <f t="shared" si="16"/>
        <v>72790000</v>
      </c>
      <c r="J44" s="22">
        <f t="shared" si="16"/>
        <v>209.67737617359208</v>
      </c>
      <c r="K44" s="22">
        <f t="shared" si="16"/>
        <v>391.66666666666663</v>
      </c>
      <c r="L44" s="22">
        <f t="shared" si="16"/>
        <v>1.531396423922156</v>
      </c>
      <c r="M44" s="22">
        <f t="shared" si="16"/>
        <v>51103000</v>
      </c>
      <c r="N44" s="22">
        <f t="shared" si="16"/>
        <v>0</v>
      </c>
      <c r="O44" s="37"/>
      <c r="P44" s="38"/>
    </row>
    <row r="45" spans="1:16" ht="15.5" x14ac:dyDescent="0.35">
      <c r="A45" s="25" t="s">
        <v>87</v>
      </c>
      <c r="B45" s="39" t="s">
        <v>88</v>
      </c>
      <c r="C45" s="20"/>
      <c r="D45" s="21"/>
      <c r="E45" s="29">
        <v>52846000</v>
      </c>
      <c r="F45" s="30">
        <f t="shared" si="1"/>
        <v>7394000</v>
      </c>
      <c r="G45" s="30">
        <v>60240000</v>
      </c>
      <c r="H45" s="31">
        <f t="shared" si="5"/>
        <v>0.75746582175986021</v>
      </c>
      <c r="I45" s="32">
        <v>53040000</v>
      </c>
      <c r="J45" s="33">
        <f t="shared" si="2"/>
        <v>88.047808764940243</v>
      </c>
      <c r="K45" s="34">
        <v>100</v>
      </c>
      <c r="L45" s="35">
        <f t="shared" ref="L45:L48" si="17">K45*H45/100</f>
        <v>0.75746582175986021</v>
      </c>
      <c r="M45" s="29">
        <f t="shared" ref="M45:M48" si="18">G45-I45</f>
        <v>7200000</v>
      </c>
      <c r="N45" s="30"/>
      <c r="O45" s="37"/>
      <c r="P45" s="38">
        <v>27</v>
      </c>
    </row>
    <row r="46" spans="1:16" ht="15.5" x14ac:dyDescent="0.35">
      <c r="A46" s="25" t="s">
        <v>89</v>
      </c>
      <c r="B46" s="39" t="s">
        <v>90</v>
      </c>
      <c r="C46" s="40"/>
      <c r="D46" s="41"/>
      <c r="E46" s="29">
        <v>14600000</v>
      </c>
      <c r="F46" s="30">
        <f t="shared" si="1"/>
        <v>0</v>
      </c>
      <c r="G46" s="29">
        <v>14600000</v>
      </c>
      <c r="H46" s="31">
        <f t="shared" si="5"/>
        <v>0.18358235387938179</v>
      </c>
      <c r="I46" s="32">
        <v>14600000</v>
      </c>
      <c r="J46" s="33">
        <f t="shared" si="2"/>
        <v>100</v>
      </c>
      <c r="K46" s="34">
        <v>100</v>
      </c>
      <c r="L46" s="35">
        <f t="shared" si="17"/>
        <v>0.18358235387938179</v>
      </c>
      <c r="M46" s="29">
        <f t="shared" si="18"/>
        <v>0</v>
      </c>
      <c r="N46" s="30"/>
      <c r="O46" s="37"/>
      <c r="P46" s="38">
        <v>28</v>
      </c>
    </row>
    <row r="47" spans="1:16" ht="15.5" x14ac:dyDescent="0.35">
      <c r="A47" s="25" t="s">
        <v>91</v>
      </c>
      <c r="B47" s="39" t="s">
        <v>92</v>
      </c>
      <c r="C47" s="40"/>
      <c r="D47" s="41"/>
      <c r="E47" s="29">
        <v>25243000</v>
      </c>
      <c r="F47" s="30">
        <f t="shared" si="1"/>
        <v>0</v>
      </c>
      <c r="G47" s="29">
        <v>25243000</v>
      </c>
      <c r="H47" s="31">
        <f t="shared" si="5"/>
        <v>0.31740886020392017</v>
      </c>
      <c r="I47" s="32">
        <v>0</v>
      </c>
      <c r="J47" s="33">
        <f t="shared" si="2"/>
        <v>0</v>
      </c>
      <c r="K47" s="34">
        <f>11/12*100</f>
        <v>91.666666666666657</v>
      </c>
      <c r="L47" s="35">
        <f t="shared" si="17"/>
        <v>0.29095812185359349</v>
      </c>
      <c r="M47" s="29">
        <f t="shared" si="18"/>
        <v>25243000</v>
      </c>
      <c r="N47" s="30"/>
      <c r="O47" s="37"/>
      <c r="P47" s="38">
        <v>29</v>
      </c>
    </row>
    <row r="48" spans="1:16" ht="15.5" x14ac:dyDescent="0.35">
      <c r="A48" s="25" t="s">
        <v>93</v>
      </c>
      <c r="B48" s="380" t="s">
        <v>94</v>
      </c>
      <c r="C48" s="381"/>
      <c r="D48" s="382"/>
      <c r="E48" s="29">
        <v>23810000</v>
      </c>
      <c r="F48" s="30">
        <f t="shared" si="1"/>
        <v>0</v>
      </c>
      <c r="G48" s="29">
        <v>23810000</v>
      </c>
      <c r="H48" s="31">
        <f t="shared" si="5"/>
        <v>0.29939012642932056</v>
      </c>
      <c r="I48" s="32">
        <v>5150000</v>
      </c>
      <c r="J48" s="33">
        <f t="shared" si="2"/>
        <v>21.629567408651827</v>
      </c>
      <c r="K48" s="34">
        <v>100</v>
      </c>
      <c r="L48" s="35">
        <f t="shared" si="17"/>
        <v>0.29939012642932056</v>
      </c>
      <c r="M48" s="29">
        <f t="shared" si="18"/>
        <v>18660000</v>
      </c>
      <c r="N48" s="30"/>
      <c r="O48" s="37"/>
      <c r="P48" s="38">
        <v>30</v>
      </c>
    </row>
    <row r="49" spans="1:21" ht="15.5" x14ac:dyDescent="0.35">
      <c r="A49" s="18" t="s">
        <v>95</v>
      </c>
      <c r="B49" s="42" t="s">
        <v>96</v>
      </c>
      <c r="C49" s="20"/>
      <c r="D49" s="21"/>
      <c r="E49" s="22">
        <f>SUM(E50:E52)</f>
        <v>26757000</v>
      </c>
      <c r="F49" s="22">
        <f t="shared" ref="F49:N49" si="19">SUM(F50:F52)</f>
        <v>450000</v>
      </c>
      <c r="G49" s="22">
        <f t="shared" si="19"/>
        <v>27207000</v>
      </c>
      <c r="H49" s="22">
        <f t="shared" si="19"/>
        <v>0.34210445904084524</v>
      </c>
      <c r="I49" s="22">
        <f t="shared" si="19"/>
        <v>17222000</v>
      </c>
      <c r="J49" s="22">
        <f t="shared" si="19"/>
        <v>188.47239572234497</v>
      </c>
      <c r="K49" s="22">
        <f t="shared" si="19"/>
        <v>300</v>
      </c>
      <c r="L49" s="22">
        <f t="shared" si="19"/>
        <v>0.34210445904084524</v>
      </c>
      <c r="M49" s="22">
        <f t="shared" si="19"/>
        <v>9985000</v>
      </c>
      <c r="N49" s="22">
        <f t="shared" si="19"/>
        <v>0</v>
      </c>
      <c r="O49" s="37"/>
      <c r="P49" s="38"/>
    </row>
    <row r="50" spans="1:21" ht="15.5" x14ac:dyDescent="0.35">
      <c r="A50" s="25" t="s">
        <v>97</v>
      </c>
      <c r="B50" s="39" t="s">
        <v>98</v>
      </c>
      <c r="C50" s="20"/>
      <c r="D50" s="21"/>
      <c r="E50" s="29">
        <v>10695000</v>
      </c>
      <c r="F50" s="30">
        <f t="shared" si="1"/>
        <v>0</v>
      </c>
      <c r="G50" s="29">
        <v>10695000</v>
      </c>
      <c r="H50" s="31">
        <f t="shared" si="5"/>
        <v>0.13448036128356083</v>
      </c>
      <c r="I50" s="32">
        <v>7420000</v>
      </c>
      <c r="J50" s="33">
        <f t="shared" si="2"/>
        <v>69.378214118747081</v>
      </c>
      <c r="K50" s="34">
        <v>100</v>
      </c>
      <c r="L50" s="35">
        <f t="shared" ref="L50:L52" si="20">K50*H50/100</f>
        <v>0.13448036128356083</v>
      </c>
      <c r="M50" s="29">
        <f t="shared" ref="M50:M52" si="21">G50-I50</f>
        <v>3275000</v>
      </c>
      <c r="N50" s="30"/>
      <c r="O50" s="37"/>
      <c r="P50" s="38">
        <v>31</v>
      </c>
    </row>
    <row r="51" spans="1:21" ht="15.5" x14ac:dyDescent="0.35">
      <c r="A51" s="25" t="s">
        <v>99</v>
      </c>
      <c r="B51" s="39" t="s">
        <v>100</v>
      </c>
      <c r="C51" s="20"/>
      <c r="D51" s="21"/>
      <c r="E51" s="29">
        <v>8972000</v>
      </c>
      <c r="F51" s="30">
        <f t="shared" si="1"/>
        <v>0</v>
      </c>
      <c r="G51" s="29">
        <v>8972000</v>
      </c>
      <c r="H51" s="31">
        <f t="shared" si="5"/>
        <v>0.11281512869902831</v>
      </c>
      <c r="I51" s="32">
        <v>5152000</v>
      </c>
      <c r="J51" s="33">
        <f t="shared" si="2"/>
        <v>57.423094070441373</v>
      </c>
      <c r="K51" s="34">
        <v>100</v>
      </c>
      <c r="L51" s="35">
        <f t="shared" si="20"/>
        <v>0.11281512869902829</v>
      </c>
      <c r="M51" s="29">
        <f t="shared" si="21"/>
        <v>3820000</v>
      </c>
      <c r="N51" s="30"/>
      <c r="O51" s="37"/>
      <c r="P51" s="38">
        <v>32</v>
      </c>
    </row>
    <row r="52" spans="1:21" ht="15.5" x14ac:dyDescent="0.35">
      <c r="A52" s="25" t="s">
        <v>101</v>
      </c>
      <c r="B52" s="39" t="s">
        <v>102</v>
      </c>
      <c r="C52" s="20"/>
      <c r="D52" s="21"/>
      <c r="E52" s="29">
        <v>7090000</v>
      </c>
      <c r="F52" s="30">
        <f t="shared" si="1"/>
        <v>450000</v>
      </c>
      <c r="G52" s="30">
        <v>7540000</v>
      </c>
      <c r="H52" s="31">
        <f t="shared" si="5"/>
        <v>9.4808969058256087E-2</v>
      </c>
      <c r="I52" s="32">
        <v>4650000</v>
      </c>
      <c r="J52" s="33">
        <f t="shared" si="2"/>
        <v>61.671087533156502</v>
      </c>
      <c r="K52" s="34">
        <v>100</v>
      </c>
      <c r="L52" s="35">
        <f t="shared" si="20"/>
        <v>9.4808969058256101E-2</v>
      </c>
      <c r="M52" s="29">
        <f t="shared" si="21"/>
        <v>2890000</v>
      </c>
      <c r="N52" s="30"/>
      <c r="O52" s="37"/>
      <c r="P52" s="38">
        <v>33</v>
      </c>
    </row>
    <row r="53" spans="1:21" ht="15.5" x14ac:dyDescent="0.35">
      <c r="A53" s="18" t="s">
        <v>103</v>
      </c>
      <c r="B53" s="42" t="s">
        <v>104</v>
      </c>
      <c r="C53" s="27"/>
      <c r="D53" s="28"/>
      <c r="E53" s="22">
        <f>E54</f>
        <v>43788000</v>
      </c>
      <c r="F53" s="22">
        <f t="shared" ref="F53:N53" si="22">F54</f>
        <v>3697000</v>
      </c>
      <c r="G53" s="22">
        <f t="shared" si="22"/>
        <v>47485000</v>
      </c>
      <c r="H53" s="22">
        <f t="shared" si="22"/>
        <v>0.59708274479194823</v>
      </c>
      <c r="I53" s="22">
        <f t="shared" si="22"/>
        <v>43524200</v>
      </c>
      <c r="J53" s="22">
        <f t="shared" si="22"/>
        <v>91.658839633568505</v>
      </c>
      <c r="K53" s="22">
        <f t="shared" si="22"/>
        <v>91.666666666666657</v>
      </c>
      <c r="L53" s="22">
        <f t="shared" si="22"/>
        <v>0.54732584939261908</v>
      </c>
      <c r="M53" s="22">
        <f t="shared" si="22"/>
        <v>3960800</v>
      </c>
      <c r="N53" s="22">
        <f t="shared" si="22"/>
        <v>0</v>
      </c>
      <c r="O53" s="37"/>
      <c r="P53" s="38"/>
    </row>
    <row r="54" spans="1:21" ht="15.5" x14ac:dyDescent="0.35">
      <c r="A54" s="25" t="s">
        <v>105</v>
      </c>
      <c r="B54" s="39" t="s">
        <v>106</v>
      </c>
      <c r="C54" s="27"/>
      <c r="D54" s="28"/>
      <c r="E54" s="29">
        <v>43788000</v>
      </c>
      <c r="F54" s="30">
        <f t="shared" si="1"/>
        <v>3697000</v>
      </c>
      <c r="G54" s="30">
        <v>47485000</v>
      </c>
      <c r="H54" s="31">
        <f t="shared" si="5"/>
        <v>0.59708274479194823</v>
      </c>
      <c r="I54" s="43">
        <v>43524200</v>
      </c>
      <c r="J54" s="33">
        <f t="shared" si="2"/>
        <v>91.658839633568505</v>
      </c>
      <c r="K54" s="34">
        <f>11/12*100</f>
        <v>91.666666666666657</v>
      </c>
      <c r="L54" s="35">
        <f t="shared" ref="L54" si="23">K54*H54/100</f>
        <v>0.54732584939261908</v>
      </c>
      <c r="M54" s="29">
        <f t="shared" ref="M54" si="24">G54-I54</f>
        <v>3960800</v>
      </c>
      <c r="N54" s="30"/>
      <c r="O54" s="37"/>
      <c r="P54" s="38">
        <v>34</v>
      </c>
    </row>
    <row r="55" spans="1:21" ht="54" customHeight="1" x14ac:dyDescent="0.35">
      <c r="A55" s="18" t="s">
        <v>107</v>
      </c>
      <c r="B55" s="377" t="s">
        <v>108</v>
      </c>
      <c r="C55" s="378"/>
      <c r="D55" s="379"/>
      <c r="E55" s="44">
        <f>SUM(E56)</f>
        <v>218843000</v>
      </c>
      <c r="F55" s="44">
        <f t="shared" ref="F55:N55" si="25">SUM(F56)</f>
        <v>0</v>
      </c>
      <c r="G55" s="44">
        <f t="shared" si="25"/>
        <v>218843000</v>
      </c>
      <c r="H55" s="44">
        <f t="shared" si="25"/>
        <v>2.751761169179832</v>
      </c>
      <c r="I55" s="44">
        <f t="shared" si="25"/>
        <v>218843000</v>
      </c>
      <c r="J55" s="44">
        <f t="shared" si="25"/>
        <v>100</v>
      </c>
      <c r="K55" s="44">
        <f t="shared" si="25"/>
        <v>100</v>
      </c>
      <c r="L55" s="44">
        <f t="shared" si="25"/>
        <v>2.751761169179832</v>
      </c>
      <c r="M55" s="44">
        <f t="shared" si="25"/>
        <v>0</v>
      </c>
      <c r="N55" s="44">
        <f t="shared" si="25"/>
        <v>0</v>
      </c>
      <c r="O55" s="37"/>
      <c r="P55" s="38"/>
      <c r="T55" t="s">
        <v>149</v>
      </c>
      <c r="U55" t="s">
        <v>150</v>
      </c>
    </row>
    <row r="56" spans="1:21" ht="15.5" x14ac:dyDescent="0.35">
      <c r="A56" s="25" t="s">
        <v>109</v>
      </c>
      <c r="B56" s="39" t="s">
        <v>110</v>
      </c>
      <c r="C56" s="40"/>
      <c r="D56" s="41"/>
      <c r="E56" s="29">
        <v>218843000</v>
      </c>
      <c r="F56" s="30">
        <f t="shared" si="1"/>
        <v>0</v>
      </c>
      <c r="G56" s="29">
        <v>218843000</v>
      </c>
      <c r="H56" s="31">
        <f t="shared" si="5"/>
        <v>2.751761169179832</v>
      </c>
      <c r="I56" s="32">
        <v>218843000</v>
      </c>
      <c r="J56" s="33">
        <f t="shared" si="2"/>
        <v>100</v>
      </c>
      <c r="K56" s="34">
        <v>100</v>
      </c>
      <c r="L56" s="35">
        <f t="shared" ref="L56" si="26">K56*H56/100</f>
        <v>2.751761169179832</v>
      </c>
      <c r="M56" s="29">
        <f t="shared" ref="M56" si="27">G56-I56</f>
        <v>0</v>
      </c>
      <c r="N56" s="30"/>
      <c r="O56" s="37"/>
      <c r="P56" s="38">
        <v>35</v>
      </c>
    </row>
    <row r="57" spans="1:21" ht="15.5" x14ac:dyDescent="0.35">
      <c r="A57" s="18" t="s">
        <v>111</v>
      </c>
      <c r="B57" s="42" t="s">
        <v>112</v>
      </c>
      <c r="C57" s="40"/>
      <c r="D57" s="41"/>
      <c r="E57" s="22">
        <f>E58</f>
        <v>5135873000</v>
      </c>
      <c r="F57" s="22">
        <f t="shared" ref="F57:N57" si="28">F58</f>
        <v>-29201000</v>
      </c>
      <c r="G57" s="22">
        <f t="shared" si="28"/>
        <v>5106672000</v>
      </c>
      <c r="H57" s="22">
        <f t="shared" si="28"/>
        <v>64.211977140406191</v>
      </c>
      <c r="I57" s="22">
        <f t="shared" si="28"/>
        <v>4099884000</v>
      </c>
      <c r="J57" s="22">
        <f t="shared" si="28"/>
        <v>80.284850877440334</v>
      </c>
      <c r="K57" s="22">
        <f t="shared" si="28"/>
        <v>90</v>
      </c>
      <c r="L57" s="22">
        <f t="shared" si="28"/>
        <v>57.790779426365567</v>
      </c>
      <c r="M57" s="22">
        <f t="shared" si="28"/>
        <v>1006788000</v>
      </c>
      <c r="N57" s="22">
        <f t="shared" si="28"/>
        <v>0</v>
      </c>
      <c r="O57" s="37"/>
      <c r="P57" s="38"/>
    </row>
    <row r="58" spans="1:21" ht="15.5" x14ac:dyDescent="0.35">
      <c r="A58" s="25" t="s">
        <v>113</v>
      </c>
      <c r="B58" s="39" t="s">
        <v>114</v>
      </c>
      <c r="C58" s="40"/>
      <c r="D58" s="41"/>
      <c r="E58" s="29">
        <v>5135873000</v>
      </c>
      <c r="F58" s="30">
        <f t="shared" si="1"/>
        <v>-29201000</v>
      </c>
      <c r="G58" s="30">
        <v>5106672000</v>
      </c>
      <c r="H58" s="31">
        <f t="shared" si="5"/>
        <v>64.211977140406191</v>
      </c>
      <c r="I58" s="32">
        <v>4099884000</v>
      </c>
      <c r="J58" s="33">
        <f t="shared" si="2"/>
        <v>80.284850877440334</v>
      </c>
      <c r="K58" s="34">
        <f>0.9*100</f>
        <v>90</v>
      </c>
      <c r="L58" s="35">
        <f t="shared" ref="L58" si="29">K58*H58/100</f>
        <v>57.790779426365567</v>
      </c>
      <c r="M58" s="29">
        <f t="shared" ref="M58" si="30">G58-I58</f>
        <v>1006788000</v>
      </c>
      <c r="N58" s="30"/>
      <c r="O58" s="37"/>
      <c r="P58" s="38">
        <v>36</v>
      </c>
    </row>
    <row r="59" spans="1:21" ht="31.5" customHeight="1" x14ac:dyDescent="0.35">
      <c r="A59" s="18" t="s">
        <v>115</v>
      </c>
      <c r="B59" s="377" t="s">
        <v>116</v>
      </c>
      <c r="C59" s="378"/>
      <c r="D59" s="379"/>
      <c r="E59" s="22">
        <f>E60</f>
        <v>142377375</v>
      </c>
      <c r="F59" s="22">
        <f t="shared" ref="F59:N59" si="31">F60</f>
        <v>-647000</v>
      </c>
      <c r="G59" s="22">
        <f t="shared" si="31"/>
        <v>141730375</v>
      </c>
      <c r="H59" s="22">
        <f t="shared" si="31"/>
        <v>1.7821367026511978</v>
      </c>
      <c r="I59" s="22">
        <f t="shared" si="31"/>
        <v>8940000</v>
      </c>
      <c r="J59" s="22">
        <f t="shared" si="31"/>
        <v>6.3077516022941458</v>
      </c>
      <c r="K59" s="22">
        <f t="shared" si="31"/>
        <v>100</v>
      </c>
      <c r="L59" s="22">
        <f t="shared" si="31"/>
        <v>1.7821367026511978</v>
      </c>
      <c r="M59" s="22">
        <f t="shared" si="31"/>
        <v>132790375</v>
      </c>
      <c r="N59" s="22">
        <f t="shared" si="31"/>
        <v>0</v>
      </c>
      <c r="O59" s="37"/>
      <c r="P59" s="38"/>
    </row>
    <row r="60" spans="1:21" ht="19.5" customHeight="1" x14ac:dyDescent="0.35">
      <c r="A60" s="25" t="s">
        <v>117</v>
      </c>
      <c r="B60" s="380" t="s">
        <v>118</v>
      </c>
      <c r="C60" s="381"/>
      <c r="D60" s="382"/>
      <c r="E60" s="29">
        <v>142377375</v>
      </c>
      <c r="F60" s="30">
        <f t="shared" si="1"/>
        <v>-647000</v>
      </c>
      <c r="G60" s="30">
        <v>141730375</v>
      </c>
      <c r="H60" s="31">
        <f t="shared" si="5"/>
        <v>1.7821367026511978</v>
      </c>
      <c r="I60" s="32">
        <v>8940000</v>
      </c>
      <c r="J60" s="33">
        <f t="shared" si="2"/>
        <v>6.3077516022941458</v>
      </c>
      <c r="K60" s="34">
        <v>100</v>
      </c>
      <c r="L60" s="35">
        <f t="shared" ref="L60" si="32">K60*H60/100</f>
        <v>1.7821367026511978</v>
      </c>
      <c r="M60" s="29">
        <f t="shared" ref="M60" si="33">G60-I60</f>
        <v>132790375</v>
      </c>
      <c r="N60" s="30"/>
      <c r="O60" s="37"/>
      <c r="P60" s="38">
        <v>37</v>
      </c>
    </row>
    <row r="61" spans="1:21" ht="15.5" x14ac:dyDescent="0.35">
      <c r="A61" s="18" t="s">
        <v>119</v>
      </c>
      <c r="B61" s="42" t="s">
        <v>120</v>
      </c>
      <c r="C61" s="27"/>
      <c r="D61" s="28"/>
      <c r="E61" s="22">
        <f>E62</f>
        <v>261470000</v>
      </c>
      <c r="F61" s="22">
        <f t="shared" ref="F61:N61" si="34">F62</f>
        <v>0</v>
      </c>
      <c r="G61" s="22">
        <f t="shared" si="34"/>
        <v>261470000</v>
      </c>
      <c r="H61" s="22">
        <f t="shared" si="34"/>
        <v>3.2877587718384902</v>
      </c>
      <c r="I61" s="22">
        <f t="shared" si="34"/>
        <v>261470000</v>
      </c>
      <c r="J61" s="22">
        <f t="shared" si="34"/>
        <v>100</v>
      </c>
      <c r="K61" s="22">
        <f t="shared" si="34"/>
        <v>100</v>
      </c>
      <c r="L61" s="22">
        <f t="shared" si="34"/>
        <v>3.2877587718384906</v>
      </c>
      <c r="M61" s="22">
        <f t="shared" si="34"/>
        <v>0</v>
      </c>
      <c r="N61" s="22">
        <f t="shared" si="34"/>
        <v>0</v>
      </c>
      <c r="O61" s="37"/>
      <c r="P61" s="38"/>
    </row>
    <row r="62" spans="1:21" ht="15.5" x14ac:dyDescent="0.35">
      <c r="A62" s="25" t="s">
        <v>121</v>
      </c>
      <c r="B62" s="39" t="s">
        <v>122</v>
      </c>
      <c r="C62" s="27"/>
      <c r="D62" s="28"/>
      <c r="E62" s="29">
        <v>261470000</v>
      </c>
      <c r="F62" s="30">
        <f t="shared" si="1"/>
        <v>0</v>
      </c>
      <c r="G62" s="29">
        <v>261470000</v>
      </c>
      <c r="H62" s="31">
        <f t="shared" si="5"/>
        <v>3.2877587718384902</v>
      </c>
      <c r="I62" s="32">
        <v>261470000</v>
      </c>
      <c r="J62" s="33">
        <f t="shared" si="2"/>
        <v>100</v>
      </c>
      <c r="K62" s="34">
        <v>100</v>
      </c>
      <c r="L62" s="35">
        <f t="shared" ref="L62" si="35">K62*H62/100</f>
        <v>3.2877587718384906</v>
      </c>
      <c r="M62" s="29">
        <f t="shared" ref="M62" si="36">G62-I62</f>
        <v>0</v>
      </c>
      <c r="N62" s="30"/>
      <c r="O62" s="37"/>
      <c r="P62" s="38">
        <v>38</v>
      </c>
    </row>
    <row r="63" spans="1:21" ht="31.5" customHeight="1" x14ac:dyDescent="0.35">
      <c r="A63" s="18" t="s">
        <v>123</v>
      </c>
      <c r="B63" s="377" t="s">
        <v>124</v>
      </c>
      <c r="C63" s="378"/>
      <c r="D63" s="379"/>
      <c r="E63" s="22">
        <f>E64</f>
        <v>5071000</v>
      </c>
      <c r="F63" s="22">
        <f t="shared" ref="F63:N63" si="37">F64</f>
        <v>0</v>
      </c>
      <c r="G63" s="22">
        <f t="shared" si="37"/>
        <v>5071000</v>
      </c>
      <c r="H63" s="22">
        <f t="shared" si="37"/>
        <v>6.376343263851679E-2</v>
      </c>
      <c r="I63" s="22">
        <f t="shared" si="37"/>
        <v>4460800</v>
      </c>
      <c r="J63" s="22">
        <f t="shared" si="37"/>
        <v>87.966870439755468</v>
      </c>
      <c r="K63" s="22">
        <f t="shared" si="37"/>
        <v>95</v>
      </c>
      <c r="L63" s="22">
        <f t="shared" si="37"/>
        <v>6.0575261006590955E-2</v>
      </c>
      <c r="M63" s="22">
        <f t="shared" si="37"/>
        <v>610200</v>
      </c>
      <c r="N63" s="22">
        <f t="shared" si="37"/>
        <v>0</v>
      </c>
      <c r="O63" s="37"/>
      <c r="P63" s="38"/>
    </row>
    <row r="64" spans="1:21" ht="15.5" x14ac:dyDescent="0.35">
      <c r="A64" s="25" t="s">
        <v>125</v>
      </c>
      <c r="B64" s="380" t="s">
        <v>126</v>
      </c>
      <c r="C64" s="381"/>
      <c r="D64" s="382"/>
      <c r="E64" s="29">
        <v>5071000</v>
      </c>
      <c r="F64" s="30">
        <f t="shared" si="1"/>
        <v>0</v>
      </c>
      <c r="G64" s="29">
        <v>5071000</v>
      </c>
      <c r="H64" s="31">
        <f t="shared" si="5"/>
        <v>6.376343263851679E-2</v>
      </c>
      <c r="I64" s="43">
        <v>4460800</v>
      </c>
      <c r="J64" s="33">
        <f t="shared" si="2"/>
        <v>87.966870439755468</v>
      </c>
      <c r="K64" s="34">
        <f>0.95*100</f>
        <v>95</v>
      </c>
      <c r="L64" s="35">
        <f t="shared" ref="L64" si="38">K64*H64/100</f>
        <v>6.0575261006590955E-2</v>
      </c>
      <c r="M64" s="29">
        <f t="shared" ref="M64" si="39">G64-I64</f>
        <v>610200</v>
      </c>
      <c r="N64" s="30"/>
      <c r="O64" s="37"/>
      <c r="P64" s="38">
        <v>39</v>
      </c>
    </row>
    <row r="65" spans="1:18" ht="15.5" x14ac:dyDescent="0.35">
      <c r="A65" s="18" t="s">
        <v>127</v>
      </c>
      <c r="B65" s="377" t="s">
        <v>128</v>
      </c>
      <c r="C65" s="378"/>
      <c r="D65" s="379"/>
      <c r="E65" s="22">
        <f>SUM(E66:E71)</f>
        <v>160126000</v>
      </c>
      <c r="F65" s="22">
        <f t="shared" ref="F65:N65" si="40">SUM(F66:F71)</f>
        <v>0</v>
      </c>
      <c r="G65" s="22">
        <f t="shared" si="40"/>
        <v>160126000</v>
      </c>
      <c r="H65" s="22">
        <f t="shared" si="40"/>
        <v>2.0134457532390333</v>
      </c>
      <c r="I65" s="22">
        <f t="shared" si="40"/>
        <v>140321500</v>
      </c>
      <c r="J65" s="22">
        <f t="shared" si="40"/>
        <v>488.76137656427761</v>
      </c>
      <c r="K65" s="22">
        <f t="shared" si="40"/>
        <v>590</v>
      </c>
      <c r="L65" s="22">
        <f t="shared" si="40"/>
        <v>2.0034493168462864</v>
      </c>
      <c r="M65" s="22">
        <f t="shared" si="40"/>
        <v>19804500</v>
      </c>
      <c r="N65" s="22">
        <f t="shared" si="40"/>
        <v>0</v>
      </c>
      <c r="O65" s="37"/>
      <c r="P65" s="38"/>
    </row>
    <row r="66" spans="1:18" ht="15.5" x14ac:dyDescent="0.35">
      <c r="A66" s="25" t="s">
        <v>129</v>
      </c>
      <c r="B66" s="39" t="s">
        <v>130</v>
      </c>
      <c r="C66" s="27"/>
      <c r="D66" s="28"/>
      <c r="E66" s="29">
        <v>105480000</v>
      </c>
      <c r="F66" s="30">
        <f t="shared" si="1"/>
        <v>0</v>
      </c>
      <c r="G66" s="29">
        <v>105480000</v>
      </c>
      <c r="H66" s="31">
        <f t="shared" si="5"/>
        <v>1.3263196361093967</v>
      </c>
      <c r="I66" s="32">
        <v>93625500</v>
      </c>
      <c r="J66" s="33">
        <f t="shared" si="2"/>
        <v>88.761376564277583</v>
      </c>
      <c r="K66" s="34">
        <v>100</v>
      </c>
      <c r="L66" s="35">
        <f t="shared" ref="L66:L71" si="41">K66*H66/100</f>
        <v>1.3263196361093967</v>
      </c>
      <c r="M66" s="29">
        <f t="shared" ref="M66:M71" si="42">G66-I66</f>
        <v>11854500</v>
      </c>
      <c r="N66" s="30"/>
      <c r="O66" s="37"/>
      <c r="P66" s="38">
        <v>40</v>
      </c>
    </row>
    <row r="67" spans="1:18" ht="15.5" x14ac:dyDescent="0.35">
      <c r="A67" s="25" t="s">
        <v>131</v>
      </c>
      <c r="B67" s="39" t="s">
        <v>132</v>
      </c>
      <c r="C67" s="27"/>
      <c r="D67" s="28"/>
      <c r="E67" s="29">
        <v>18300000</v>
      </c>
      <c r="F67" s="30">
        <f t="shared" si="1"/>
        <v>0</v>
      </c>
      <c r="G67" s="29">
        <v>18300000</v>
      </c>
      <c r="H67" s="31">
        <f t="shared" si="5"/>
        <v>0.230106649040595</v>
      </c>
      <c r="I67" s="32">
        <v>18300000</v>
      </c>
      <c r="J67" s="33">
        <f t="shared" si="2"/>
        <v>100</v>
      </c>
      <c r="K67" s="34">
        <v>100</v>
      </c>
      <c r="L67" s="35">
        <f t="shared" si="41"/>
        <v>0.230106649040595</v>
      </c>
      <c r="M67" s="29">
        <f t="shared" si="42"/>
        <v>0</v>
      </c>
      <c r="N67" s="30"/>
      <c r="O67" s="37"/>
      <c r="P67" s="38">
        <v>41</v>
      </c>
    </row>
    <row r="68" spans="1:18" ht="15.5" x14ac:dyDescent="0.35">
      <c r="A68" s="25" t="s">
        <v>133</v>
      </c>
      <c r="B68" s="39" t="s">
        <v>134</v>
      </c>
      <c r="C68" s="27"/>
      <c r="D68" s="28"/>
      <c r="E68" s="29">
        <v>15166000</v>
      </c>
      <c r="F68" s="30">
        <f t="shared" si="1"/>
        <v>0</v>
      </c>
      <c r="G68" s="29">
        <v>15166000</v>
      </c>
      <c r="H68" s="31">
        <f t="shared" si="5"/>
        <v>0.19069931362566467</v>
      </c>
      <c r="I68" s="32">
        <v>15166000</v>
      </c>
      <c r="J68" s="33">
        <f t="shared" si="2"/>
        <v>100</v>
      </c>
      <c r="K68" s="34">
        <v>100</v>
      </c>
      <c r="L68" s="35">
        <f t="shared" si="41"/>
        <v>0.19069931362566467</v>
      </c>
      <c r="M68" s="29">
        <f t="shared" si="42"/>
        <v>0</v>
      </c>
      <c r="N68" s="30"/>
      <c r="O68" s="37"/>
      <c r="P68" s="38">
        <v>42</v>
      </c>
    </row>
    <row r="69" spans="1:18" ht="15.5" x14ac:dyDescent="0.35">
      <c r="A69" s="25" t="s">
        <v>135</v>
      </c>
      <c r="B69" s="39" t="s">
        <v>136</v>
      </c>
      <c r="C69" s="27"/>
      <c r="D69" s="28"/>
      <c r="E69" s="29">
        <v>3450000</v>
      </c>
      <c r="F69" s="30">
        <f t="shared" si="1"/>
        <v>0</v>
      </c>
      <c r="G69" s="29">
        <v>3450000</v>
      </c>
      <c r="H69" s="31">
        <f t="shared" si="5"/>
        <v>4.3380761704374465E-2</v>
      </c>
      <c r="I69" s="32">
        <v>3450000</v>
      </c>
      <c r="J69" s="33">
        <f t="shared" si="2"/>
        <v>100</v>
      </c>
      <c r="K69" s="34">
        <v>100</v>
      </c>
      <c r="L69" s="35">
        <f t="shared" si="41"/>
        <v>4.3380761704374465E-2</v>
      </c>
      <c r="M69" s="29">
        <f t="shared" si="42"/>
        <v>0</v>
      </c>
      <c r="N69" s="30"/>
      <c r="O69" s="37"/>
      <c r="P69" s="38">
        <v>43</v>
      </c>
    </row>
    <row r="70" spans="1:18" ht="15.5" x14ac:dyDescent="0.35">
      <c r="A70" s="25" t="s">
        <v>137</v>
      </c>
      <c r="B70" s="39" t="s">
        <v>138</v>
      </c>
      <c r="C70" s="27"/>
      <c r="D70" s="28"/>
      <c r="E70" s="29">
        <v>9780000</v>
      </c>
      <c r="F70" s="30">
        <f t="shared" si="1"/>
        <v>0</v>
      </c>
      <c r="G70" s="29">
        <v>9780000</v>
      </c>
      <c r="H70" s="31">
        <f t="shared" si="5"/>
        <v>0.12297502883153108</v>
      </c>
      <c r="I70" s="32">
        <v>9780000</v>
      </c>
      <c r="J70" s="33">
        <f t="shared" si="2"/>
        <v>100</v>
      </c>
      <c r="K70" s="34">
        <v>100</v>
      </c>
      <c r="L70" s="35">
        <f t="shared" si="41"/>
        <v>0.12297502883153108</v>
      </c>
      <c r="M70" s="29">
        <f t="shared" si="42"/>
        <v>0</v>
      </c>
      <c r="N70" s="30"/>
      <c r="O70" s="37"/>
      <c r="P70" s="38">
        <v>44</v>
      </c>
    </row>
    <row r="71" spans="1:18" ht="15.5" x14ac:dyDescent="0.35">
      <c r="A71" s="25" t="s">
        <v>139</v>
      </c>
      <c r="B71" s="39" t="s">
        <v>140</v>
      </c>
      <c r="C71" s="27"/>
      <c r="D71" s="28"/>
      <c r="E71" s="29">
        <v>7950000</v>
      </c>
      <c r="F71" s="30">
        <f t="shared" si="1"/>
        <v>0</v>
      </c>
      <c r="G71" s="29">
        <v>7950000</v>
      </c>
      <c r="H71" s="31">
        <f t="shared" si="5"/>
        <v>9.99643639274716E-2</v>
      </c>
      <c r="I71" s="32">
        <v>0</v>
      </c>
      <c r="J71" s="33">
        <f t="shared" si="2"/>
        <v>0</v>
      </c>
      <c r="K71" s="34">
        <f>0.9*100</f>
        <v>90</v>
      </c>
      <c r="L71" s="35">
        <f t="shared" si="41"/>
        <v>8.9967927534724448E-2</v>
      </c>
      <c r="M71" s="29">
        <f t="shared" si="42"/>
        <v>7950000</v>
      </c>
      <c r="N71" s="30"/>
      <c r="O71" s="37"/>
      <c r="P71" s="38">
        <v>45</v>
      </c>
    </row>
    <row r="72" spans="1:18" ht="15.5" x14ac:dyDescent="0.35">
      <c r="A72" s="18" t="s">
        <v>141</v>
      </c>
      <c r="B72" s="377" t="s">
        <v>142</v>
      </c>
      <c r="C72" s="378"/>
      <c r="D72" s="379"/>
      <c r="E72" s="22">
        <f>E73</f>
        <v>23544800</v>
      </c>
      <c r="F72" s="22">
        <f t="shared" ref="F72:N72" si="43">F73</f>
        <v>0</v>
      </c>
      <c r="G72" s="22">
        <f t="shared" si="43"/>
        <v>23544800</v>
      </c>
      <c r="H72" s="22">
        <f t="shared" si="43"/>
        <v>0.29605546613830608</v>
      </c>
      <c r="I72" s="22">
        <f t="shared" si="43"/>
        <v>22870000</v>
      </c>
      <c r="J72" s="22">
        <f t="shared" si="43"/>
        <v>97.133974380754978</v>
      </c>
      <c r="K72" s="22">
        <f t="shared" si="43"/>
        <v>100</v>
      </c>
      <c r="L72" s="22">
        <f t="shared" si="43"/>
        <v>0.29605546613830608</v>
      </c>
      <c r="M72" s="22">
        <f t="shared" si="43"/>
        <v>674800</v>
      </c>
      <c r="N72" s="22">
        <f t="shared" si="43"/>
        <v>0</v>
      </c>
      <c r="O72" s="37"/>
      <c r="P72" s="38"/>
      <c r="R72">
        <v>18</v>
      </c>
    </row>
    <row r="73" spans="1:18" ht="15.5" x14ac:dyDescent="0.35">
      <c r="A73" s="45" t="s">
        <v>143</v>
      </c>
      <c r="B73" s="46" t="s">
        <v>144</v>
      </c>
      <c r="C73" s="47"/>
      <c r="D73" s="48"/>
      <c r="E73" s="49">
        <v>23544800</v>
      </c>
      <c r="F73" s="50">
        <f t="shared" si="1"/>
        <v>0</v>
      </c>
      <c r="G73" s="49">
        <v>23544800</v>
      </c>
      <c r="H73" s="51">
        <f t="shared" si="5"/>
        <v>0.29605546613830608</v>
      </c>
      <c r="I73" s="52">
        <v>22870000</v>
      </c>
      <c r="J73" s="53">
        <f t="shared" si="2"/>
        <v>97.133974380754978</v>
      </c>
      <c r="K73" s="54">
        <v>100</v>
      </c>
      <c r="L73" s="55">
        <f t="shared" ref="L73" si="44">K73*H73/100</f>
        <v>0.29605546613830608</v>
      </c>
      <c r="M73" s="49">
        <f t="shared" ref="M73" si="45">G73-I73</f>
        <v>674800</v>
      </c>
      <c r="N73" s="50"/>
      <c r="O73" s="37"/>
      <c r="P73" s="38">
        <v>46</v>
      </c>
    </row>
    <row r="74" spans="1:18" ht="15.5" x14ac:dyDescent="0.35">
      <c r="A74" s="383" t="s">
        <v>145</v>
      </c>
      <c r="B74" s="384"/>
      <c r="C74" s="384"/>
      <c r="D74" s="385"/>
      <c r="E74" s="56">
        <f>E72+E65+E63+E61+E59+E57+E55+E53+E49+E44+E42+E39+E36+E34+E32+E30+E22+E10</f>
        <v>7855265077.7200003</v>
      </c>
      <c r="F74" s="56">
        <f>F72+F65+F63+F61+F59+F57+F55+F53+F49+F44+F42+F39+F36+F34+F32+F30+F22+F10</f>
        <v>97569000</v>
      </c>
      <c r="G74" s="56">
        <f>G72+G65+G63+G61+G59+G57+G55+G53+G49+G44+G42+G39+G36+G34+G32+G30+G22+G10</f>
        <v>7952834077.7200003</v>
      </c>
      <c r="H74" s="56">
        <f>H72+H65+H63+H61+H59+H57+H55+H53+H49+H44+H42+H39+H36+H34+H32+H30+H22+H10</f>
        <v>100</v>
      </c>
      <c r="I74" s="56">
        <f>I72+I65+I63+I61+I59+I57+I55+I53+I49+I44+I42+I39+I36+I34+I32+I30+I22+I10</f>
        <v>6394907176</v>
      </c>
      <c r="J74" s="57">
        <f t="shared" si="2"/>
        <v>80.410418644536307</v>
      </c>
      <c r="K74" s="56">
        <v>95.34</v>
      </c>
      <c r="L74" s="56">
        <f>L72+L65+L63+L61+L59+L57+L55+L53+L49+L44+L42+L39+L36+L34+L32+L30+L22+L10</f>
        <v>91.536733790884895</v>
      </c>
      <c r="M74" s="56">
        <f>M72+M65+M63+M61+M59+M57+M55+M53+M49+M44+M42+M39+M36+M34+M32+M30+M22+M10</f>
        <v>1557926901.72</v>
      </c>
      <c r="N74" s="56"/>
      <c r="O74" s="58"/>
      <c r="P74" s="59">
        <v>4385.5568173454367</v>
      </c>
    </row>
    <row r="75" spans="1:18" ht="15.5" x14ac:dyDescent="0.35">
      <c r="A75" s="60"/>
      <c r="B75" s="17"/>
      <c r="C75" s="17"/>
      <c r="D75" s="17"/>
      <c r="E75" s="61"/>
      <c r="F75" s="62"/>
      <c r="G75" s="62"/>
      <c r="H75" s="62"/>
      <c r="I75" s="62"/>
      <c r="J75" s="63"/>
      <c r="K75" s="63"/>
      <c r="L75" s="63"/>
      <c r="M75" s="63"/>
      <c r="N75" s="64"/>
      <c r="O75" s="17"/>
      <c r="P75" s="38">
        <f>P74/46</f>
        <v>95.338191681422543</v>
      </c>
    </row>
    <row r="76" spans="1:18" ht="15.5" x14ac:dyDescent="0.35">
      <c r="A76" s="60"/>
      <c r="B76" s="17"/>
      <c r="C76" s="17"/>
      <c r="D76" s="17"/>
      <c r="E76" s="61">
        <v>7738766077.0699997</v>
      </c>
      <c r="F76" s="62"/>
      <c r="G76" s="62"/>
      <c r="H76" s="62"/>
      <c r="J76" s="386" t="s">
        <v>146</v>
      </c>
      <c r="K76" s="386"/>
      <c r="L76" s="386"/>
      <c r="M76" s="63"/>
      <c r="N76" s="64"/>
      <c r="O76" s="17"/>
      <c r="P76" s="38"/>
    </row>
    <row r="77" spans="1:18" ht="15.5" x14ac:dyDescent="0.35">
      <c r="A77" s="60"/>
      <c r="B77" s="17"/>
      <c r="C77" s="17"/>
      <c r="D77" s="17"/>
      <c r="E77" s="61"/>
      <c r="F77" s="62"/>
      <c r="G77" s="65"/>
      <c r="H77" s="65"/>
      <c r="J77" s="374" t="s">
        <v>147</v>
      </c>
      <c r="K77" s="374"/>
      <c r="L77" s="374"/>
      <c r="M77" s="63"/>
      <c r="N77" s="64"/>
      <c r="O77" s="17"/>
      <c r="P77" s="38"/>
    </row>
    <row r="78" spans="1:18" ht="15.5" x14ac:dyDescent="0.35">
      <c r="A78" s="60"/>
      <c r="B78" s="17"/>
      <c r="C78" s="17"/>
      <c r="D78" s="17"/>
      <c r="E78" s="61"/>
      <c r="F78" s="62"/>
      <c r="G78" s="65"/>
      <c r="H78" s="65"/>
      <c r="J78" s="65"/>
      <c r="K78" s="65"/>
      <c r="L78" s="65"/>
      <c r="M78" s="63"/>
      <c r="N78" s="64"/>
      <c r="O78" s="17"/>
      <c r="P78" s="38"/>
    </row>
    <row r="79" spans="1:18" ht="15.5" x14ac:dyDescent="0.35">
      <c r="A79" s="60"/>
      <c r="B79" s="17"/>
      <c r="C79" s="17"/>
      <c r="D79" s="17"/>
      <c r="E79" s="62"/>
      <c r="F79" s="62"/>
      <c r="G79" s="65"/>
      <c r="H79" s="65"/>
      <c r="J79" s="65"/>
      <c r="K79" s="65"/>
      <c r="L79" s="65"/>
      <c r="M79" s="63"/>
      <c r="N79" s="64"/>
      <c r="O79" s="17"/>
      <c r="P79" s="38"/>
    </row>
    <row r="80" spans="1:18" ht="15.5" x14ac:dyDescent="0.35">
      <c r="A80" s="60"/>
      <c r="B80" s="17">
        <f>68/96*100</f>
        <v>70.833333333333343</v>
      </c>
      <c r="C80" s="17"/>
      <c r="D80" s="17"/>
      <c r="E80" s="62"/>
      <c r="F80" s="62"/>
      <c r="G80" s="62"/>
      <c r="H80" s="65"/>
      <c r="J80" s="63"/>
      <c r="K80" s="65"/>
      <c r="L80" s="63"/>
      <c r="M80" s="63"/>
      <c r="N80" s="64"/>
      <c r="O80" s="17"/>
      <c r="P80" s="38"/>
    </row>
    <row r="81" spans="1:16" ht="18.5" x14ac:dyDescent="0.65">
      <c r="A81" s="60"/>
      <c r="B81" s="72"/>
      <c r="C81" s="17"/>
      <c r="D81" s="17"/>
      <c r="E81" s="62"/>
      <c r="F81" s="62"/>
      <c r="G81" s="62"/>
      <c r="H81" s="65"/>
      <c r="J81" s="375" t="s">
        <v>151</v>
      </c>
      <c r="K81" s="375"/>
      <c r="L81" s="375"/>
      <c r="M81" s="63"/>
      <c r="N81" s="64"/>
      <c r="O81" s="17"/>
      <c r="P81" s="38"/>
    </row>
    <row r="82" spans="1:16" ht="15.5" x14ac:dyDescent="0.35">
      <c r="A82" s="73"/>
      <c r="B82" s="74"/>
      <c r="C82" s="74"/>
      <c r="D82" s="74"/>
      <c r="E82" s="75"/>
      <c r="F82" s="76"/>
      <c r="G82" s="76"/>
      <c r="H82" s="77"/>
      <c r="I82" s="78"/>
      <c r="J82" s="376" t="s">
        <v>152</v>
      </c>
      <c r="K82" s="376"/>
      <c r="L82" s="376"/>
      <c r="M82" s="79"/>
      <c r="N82" s="80"/>
      <c r="O82" s="17"/>
      <c r="P82" s="38"/>
    </row>
    <row r="83" spans="1:16" ht="15.5" x14ac:dyDescent="0.35">
      <c r="A83" s="81"/>
      <c r="B83" s="81"/>
      <c r="C83" s="81"/>
      <c r="D83" s="81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1"/>
      <c r="P83" s="38"/>
    </row>
    <row r="84" spans="1:16" ht="15.5" x14ac:dyDescent="0.35">
      <c r="A84" t="s">
        <v>153</v>
      </c>
      <c r="B84" s="17"/>
      <c r="E84" s="83"/>
      <c r="F84" s="83"/>
      <c r="G84" s="83"/>
      <c r="H84" s="83"/>
      <c r="I84" s="83"/>
      <c r="J84" s="83">
        <v>3.49</v>
      </c>
      <c r="K84" s="83"/>
      <c r="L84" s="83"/>
      <c r="M84" s="83"/>
      <c r="N84" s="83"/>
      <c r="P84" s="38"/>
    </row>
    <row r="85" spans="1:16" ht="15.5" x14ac:dyDescent="0.35">
      <c r="B85" s="17"/>
      <c r="E85" s="83"/>
      <c r="F85" s="83"/>
      <c r="G85" s="83"/>
      <c r="H85" s="83"/>
      <c r="I85" s="83">
        <v>6394907176</v>
      </c>
      <c r="J85" s="83">
        <v>80.41</v>
      </c>
      <c r="K85" s="83"/>
      <c r="L85" s="83"/>
      <c r="M85" s="83"/>
      <c r="N85" s="83"/>
      <c r="P85" s="38"/>
    </row>
    <row r="86" spans="1:16" ht="15.5" x14ac:dyDescent="0.35">
      <c r="B86" s="17"/>
      <c r="E86" s="83"/>
      <c r="F86" s="83"/>
      <c r="G86" s="83"/>
      <c r="H86" s="83"/>
      <c r="I86" s="83"/>
      <c r="J86" s="83"/>
      <c r="K86" s="83"/>
      <c r="L86" s="83"/>
      <c r="M86" s="83"/>
      <c r="N86" s="83"/>
      <c r="P86" s="38"/>
    </row>
    <row r="87" spans="1:16" ht="15.5" x14ac:dyDescent="0.35">
      <c r="B87" s="17"/>
      <c r="E87" s="83"/>
      <c r="F87" s="83"/>
      <c r="G87" s="83"/>
      <c r="H87" s="83"/>
      <c r="I87" s="83"/>
      <c r="J87" s="83"/>
      <c r="K87" s="83"/>
      <c r="L87" s="83"/>
      <c r="M87" s="83"/>
      <c r="N87" s="83"/>
      <c r="P87" s="38"/>
    </row>
    <row r="88" spans="1:16" ht="15.5" x14ac:dyDescent="0.35">
      <c r="B88" s="17"/>
      <c r="E88" s="83"/>
      <c r="F88" s="83"/>
      <c r="G88" s="83"/>
      <c r="H88" s="83"/>
      <c r="I88" s="83"/>
      <c r="J88" s="83"/>
      <c r="K88" s="83"/>
      <c r="L88" s="83"/>
      <c r="M88" s="83"/>
      <c r="N88" s="83"/>
      <c r="P88" s="38"/>
    </row>
    <row r="89" spans="1:16" x14ac:dyDescent="0.35">
      <c r="E89" s="83"/>
      <c r="F89" s="83"/>
      <c r="G89" s="84"/>
      <c r="H89" s="83"/>
      <c r="I89" s="83"/>
      <c r="J89" s="83"/>
      <c r="K89" s="83"/>
      <c r="L89" s="83"/>
      <c r="M89" s="83"/>
      <c r="N89" s="83"/>
      <c r="P89" s="38"/>
    </row>
    <row r="90" spans="1:16" ht="15.5" x14ac:dyDescent="0.35">
      <c r="B90" s="17"/>
      <c r="E90" s="83"/>
      <c r="F90" s="83"/>
      <c r="G90" s="83"/>
      <c r="H90" s="83"/>
      <c r="I90" s="83"/>
      <c r="J90" s="83"/>
      <c r="K90" s="83"/>
      <c r="L90" s="83"/>
      <c r="M90" s="83"/>
      <c r="N90" s="83"/>
      <c r="P90" s="38"/>
    </row>
    <row r="91" spans="1:16" ht="15.5" x14ac:dyDescent="0.35">
      <c r="B91" s="17"/>
      <c r="E91" s="83"/>
      <c r="F91" s="83"/>
      <c r="G91" s="83"/>
      <c r="H91" s="83"/>
      <c r="I91" s="83"/>
      <c r="J91" s="83"/>
      <c r="K91" s="83"/>
      <c r="L91" s="83"/>
      <c r="M91" s="83"/>
      <c r="N91" s="83"/>
      <c r="P91" s="38"/>
    </row>
    <row r="92" spans="1:16" ht="15.5" x14ac:dyDescent="0.35">
      <c r="B92" s="17"/>
      <c r="E92" s="83"/>
      <c r="F92" s="83"/>
      <c r="G92" s="83"/>
      <c r="H92" s="83"/>
      <c r="I92" s="83"/>
      <c r="J92" s="83"/>
      <c r="K92" s="83"/>
      <c r="L92" s="83"/>
      <c r="M92" s="83"/>
      <c r="N92" s="83"/>
      <c r="P92" s="38"/>
    </row>
    <row r="93" spans="1:16" ht="15.5" x14ac:dyDescent="0.35">
      <c r="B93" s="17"/>
      <c r="E93" s="83"/>
      <c r="F93" s="83"/>
      <c r="G93" s="83"/>
      <c r="H93" s="83"/>
      <c r="I93" s="83"/>
      <c r="J93" s="83"/>
      <c r="K93" s="83"/>
      <c r="L93" s="83"/>
      <c r="M93" s="83"/>
      <c r="N93" s="83"/>
      <c r="P93" s="38"/>
    </row>
    <row r="94" spans="1:16" ht="15.5" x14ac:dyDescent="0.35">
      <c r="B94" s="17"/>
      <c r="E94" s="83"/>
      <c r="F94" s="83"/>
      <c r="G94" s="83"/>
      <c r="H94" s="83"/>
      <c r="I94" s="83"/>
      <c r="J94" s="83"/>
      <c r="K94" s="83"/>
      <c r="L94" s="83"/>
      <c r="M94" s="83"/>
      <c r="N94" s="83"/>
      <c r="P94" s="38"/>
    </row>
    <row r="95" spans="1:16" ht="15.5" x14ac:dyDescent="0.35">
      <c r="B95" s="17"/>
      <c r="E95" s="83"/>
      <c r="F95" s="83"/>
      <c r="G95" s="83"/>
      <c r="H95" s="83"/>
      <c r="I95" s="83"/>
      <c r="J95" s="83"/>
      <c r="K95" s="83"/>
      <c r="L95" s="83"/>
      <c r="M95" s="83"/>
      <c r="N95" s="83"/>
      <c r="P95" s="38"/>
    </row>
    <row r="96" spans="1:16" ht="15.5" x14ac:dyDescent="0.35">
      <c r="B96" s="17"/>
      <c r="E96" s="83"/>
      <c r="F96" s="83"/>
      <c r="G96" s="83"/>
      <c r="H96" s="83"/>
      <c r="I96" s="83"/>
      <c r="J96" s="83"/>
      <c r="K96" s="83"/>
      <c r="L96" s="83"/>
      <c r="M96" s="83"/>
      <c r="N96" s="83"/>
      <c r="P96" s="38"/>
    </row>
    <row r="97" spans="2:16" ht="15.5" x14ac:dyDescent="0.35">
      <c r="B97" s="17"/>
      <c r="E97" s="83"/>
      <c r="F97" s="83"/>
      <c r="G97" s="83"/>
      <c r="H97" s="83"/>
      <c r="I97" s="83"/>
      <c r="J97" s="83"/>
      <c r="K97" s="83"/>
      <c r="L97" s="83"/>
      <c r="M97" s="83"/>
      <c r="N97" s="83"/>
      <c r="P97" s="38"/>
    </row>
    <row r="98" spans="2:16" ht="15.5" x14ac:dyDescent="0.35">
      <c r="B98" s="17"/>
      <c r="E98" s="83"/>
      <c r="F98" s="83"/>
      <c r="G98" s="83"/>
      <c r="H98" s="83"/>
      <c r="I98" s="83"/>
      <c r="J98" s="83"/>
      <c r="K98" s="83"/>
      <c r="L98" s="83"/>
      <c r="M98" s="83"/>
      <c r="N98" s="83"/>
      <c r="P98" s="38"/>
    </row>
    <row r="99" spans="2:16" ht="15.5" x14ac:dyDescent="0.35">
      <c r="B99" s="17"/>
      <c r="E99" s="83"/>
      <c r="F99" s="83"/>
      <c r="G99" s="83"/>
      <c r="H99" s="85"/>
      <c r="I99" s="83"/>
      <c r="J99" s="83"/>
      <c r="K99" s="83"/>
      <c r="L99" s="83"/>
      <c r="M99" s="83"/>
      <c r="N99" s="83"/>
      <c r="P99" s="38"/>
    </row>
    <row r="100" spans="2:16" ht="15.5" x14ac:dyDescent="0.35">
      <c r="B100" s="17"/>
      <c r="E100" s="83"/>
      <c r="F100" s="83"/>
      <c r="G100" s="83"/>
      <c r="H100" s="86"/>
      <c r="I100" s="83"/>
      <c r="J100" s="83"/>
      <c r="K100" s="83"/>
      <c r="L100" s="83"/>
      <c r="M100" s="83"/>
      <c r="N100" s="83"/>
    </row>
    <row r="101" spans="2:16" x14ac:dyDescent="0.35">
      <c r="B101" s="72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2:16" x14ac:dyDescent="0.35">
      <c r="B102" s="38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2:16" x14ac:dyDescent="0.35"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2:16" x14ac:dyDescent="0.35"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2:16" x14ac:dyDescent="0.35"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2:16" x14ac:dyDescent="0.35"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2:16" x14ac:dyDescent="0.35"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2:16" x14ac:dyDescent="0.35"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2:16" x14ac:dyDescent="0.35"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2:16" x14ac:dyDescent="0.35"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2:16" x14ac:dyDescent="0.35"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2:16" x14ac:dyDescent="0.35"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5:14" x14ac:dyDescent="0.35"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5:14" x14ac:dyDescent="0.35"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5:14" x14ac:dyDescent="0.35"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5:14" x14ac:dyDescent="0.35"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5:14" x14ac:dyDescent="0.35"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5:14" x14ac:dyDescent="0.35"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5:14" x14ac:dyDescent="0.35"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5:14" x14ac:dyDescent="0.35"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5:14" x14ac:dyDescent="0.35"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5:14" x14ac:dyDescent="0.35"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5:14" x14ac:dyDescent="0.35"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5:14" x14ac:dyDescent="0.35"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5:14" x14ac:dyDescent="0.35"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5:14" x14ac:dyDescent="0.35"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5:14" x14ac:dyDescent="0.35"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5:14" x14ac:dyDescent="0.35"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312" spans="17:17" x14ac:dyDescent="0.35">
      <c r="Q312" t="s">
        <v>154</v>
      </c>
    </row>
  </sheetData>
  <mergeCells count="37">
    <mergeCell ref="B21:D21"/>
    <mergeCell ref="A1:N1"/>
    <mergeCell ref="A2:N2"/>
    <mergeCell ref="A6:A8"/>
    <mergeCell ref="B6:D8"/>
    <mergeCell ref="E6:E8"/>
    <mergeCell ref="F6:F8"/>
    <mergeCell ref="G6:G8"/>
    <mergeCell ref="H6:H8"/>
    <mergeCell ref="I6:L6"/>
    <mergeCell ref="M6:M8"/>
    <mergeCell ref="N6:N8"/>
    <mergeCell ref="I7:J7"/>
    <mergeCell ref="K7:L7"/>
    <mergeCell ref="B12:D12"/>
    <mergeCell ref="B15:D15"/>
    <mergeCell ref="B60:D60"/>
    <mergeCell ref="B22:D22"/>
    <mergeCell ref="B30:D30"/>
    <mergeCell ref="B31:D31"/>
    <mergeCell ref="B32:D32"/>
    <mergeCell ref="B36:D36"/>
    <mergeCell ref="B37:D37"/>
    <mergeCell ref="B38:D38"/>
    <mergeCell ref="B44:D44"/>
    <mergeCell ref="B48:D48"/>
    <mergeCell ref="B55:D55"/>
    <mergeCell ref="B59:D59"/>
    <mergeCell ref="J77:L77"/>
    <mergeCell ref="J81:L81"/>
    <mergeCell ref="J82:L82"/>
    <mergeCell ref="B63:D63"/>
    <mergeCell ref="B64:D64"/>
    <mergeCell ref="B65:D65"/>
    <mergeCell ref="B72:D72"/>
    <mergeCell ref="A74:D74"/>
    <mergeCell ref="J76:L7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9"/>
  <sheetViews>
    <sheetView tabSelected="1" zoomScale="80" zoomScaleNormal="80" workbookViewId="0">
      <selection activeCell="I73" sqref="I73:K73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customWidth="1"/>
    <col min="7" max="7" width="9.26953125" style="88" customWidth="1"/>
    <col min="8" max="8" width="17.7265625" style="88" customWidth="1"/>
    <col min="9" max="10" width="8.7265625" style="88" customWidth="1"/>
    <col min="11" max="11" width="15.7265625" style="88" customWidth="1"/>
    <col min="12" max="12" width="18.54296875" style="88" customWidth="1"/>
    <col min="13" max="13" width="9.54296875" style="88" customWidth="1"/>
    <col min="14" max="14" width="3.26953125" style="88" customWidth="1"/>
    <col min="15" max="19" width="13.7265625" style="88" customWidth="1"/>
    <col min="20" max="20" width="8.7265625" style="88" customWidth="1"/>
    <col min="21" max="25" width="13.7265625" style="88" customWidth="1"/>
    <col min="26" max="16384" width="9.1796875" style="88"/>
  </cols>
  <sheetData>
    <row r="1" spans="1:23" s="245" customFormat="1" ht="27" customHeight="1" x14ac:dyDescent="0.35">
      <c r="A1" s="410" t="s">
        <v>198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2"/>
    </row>
    <row r="2" spans="1:23" s="263" customFormat="1" ht="28.5" customHeight="1" x14ac:dyDescent="0.35">
      <c r="A2" s="413" t="s">
        <v>319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</row>
    <row r="3" spans="1:23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23" s="263" customFormat="1" ht="15" customHeight="1" x14ac:dyDescent="0.35">
      <c r="A4" s="250" t="s">
        <v>273</v>
      </c>
      <c r="B4" s="251" t="s">
        <v>1</v>
      </c>
      <c r="C4" s="252" t="s">
        <v>238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</row>
    <row r="5" spans="1:23" s="263" customFormat="1" ht="15" customHeight="1" x14ac:dyDescent="0.35">
      <c r="A5" s="250" t="s">
        <v>3</v>
      </c>
      <c r="B5" s="251" t="s">
        <v>1</v>
      </c>
      <c r="C5" s="252" t="s">
        <v>339</v>
      </c>
      <c r="D5" s="416"/>
      <c r="E5" s="416"/>
      <c r="F5" s="253"/>
      <c r="G5" s="253"/>
      <c r="H5" s="253"/>
      <c r="I5" s="251"/>
      <c r="J5" s="251"/>
      <c r="K5" s="251"/>
      <c r="L5" s="251"/>
      <c r="M5" s="254"/>
    </row>
    <row r="6" spans="1:23" s="263" customFormat="1" ht="16" customHeight="1" x14ac:dyDescent="0.35">
      <c r="A6" s="417" t="s">
        <v>4</v>
      </c>
      <c r="B6" s="420" t="s">
        <v>5</v>
      </c>
      <c r="C6" s="421"/>
      <c r="D6" s="426" t="s">
        <v>189</v>
      </c>
      <c r="E6" s="428" t="s">
        <v>190</v>
      </c>
      <c r="F6" s="428" t="s">
        <v>191</v>
      </c>
      <c r="G6" s="428" t="s">
        <v>9</v>
      </c>
      <c r="H6" s="431" t="s">
        <v>204</v>
      </c>
      <c r="I6" s="431"/>
      <c r="J6" s="431"/>
      <c r="K6" s="431"/>
      <c r="L6" s="428" t="s">
        <v>192</v>
      </c>
      <c r="M6" s="417" t="s">
        <v>12</v>
      </c>
    </row>
    <row r="7" spans="1:23" s="263" customFormat="1" ht="16" customHeight="1" x14ac:dyDescent="0.35">
      <c r="A7" s="418"/>
      <c r="B7" s="422"/>
      <c r="C7" s="423"/>
      <c r="D7" s="427"/>
      <c r="E7" s="429"/>
      <c r="F7" s="429"/>
      <c r="G7" s="429"/>
      <c r="H7" s="432" t="s">
        <v>13</v>
      </c>
      <c r="I7" s="433"/>
      <c r="J7" s="436" t="s">
        <v>14</v>
      </c>
      <c r="K7" s="421"/>
      <c r="L7" s="429"/>
      <c r="M7" s="418"/>
    </row>
    <row r="8" spans="1:23" s="263" customFormat="1" ht="16" customHeight="1" x14ac:dyDescent="0.35">
      <c r="A8" s="418"/>
      <c r="B8" s="422"/>
      <c r="C8" s="423"/>
      <c r="D8" s="427"/>
      <c r="E8" s="429"/>
      <c r="F8" s="429"/>
      <c r="G8" s="429"/>
      <c r="H8" s="434"/>
      <c r="I8" s="435"/>
      <c r="J8" s="437"/>
      <c r="K8" s="425"/>
      <c r="L8" s="429"/>
      <c r="M8" s="418"/>
      <c r="O8" s="263" t="s">
        <v>338</v>
      </c>
      <c r="P8" s="439" t="s">
        <v>337</v>
      </c>
      <c r="Q8" s="439"/>
      <c r="R8" s="438" t="s">
        <v>334</v>
      </c>
      <c r="S8" s="438"/>
      <c r="T8" s="331"/>
    </row>
    <row r="9" spans="1:23" s="263" customFormat="1" ht="16" customHeight="1" x14ac:dyDescent="0.35">
      <c r="A9" s="419"/>
      <c r="B9" s="424"/>
      <c r="C9" s="425"/>
      <c r="D9" s="233" t="s">
        <v>15</v>
      </c>
      <c r="E9" s="240" t="s">
        <v>15</v>
      </c>
      <c r="F9" s="240" t="s">
        <v>15</v>
      </c>
      <c r="G9" s="43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19"/>
      <c r="P9" s="333" t="s">
        <v>336</v>
      </c>
      <c r="Q9" s="333" t="s">
        <v>335</v>
      </c>
      <c r="R9" s="332" t="s">
        <v>336</v>
      </c>
      <c r="S9" s="332" t="s">
        <v>335</v>
      </c>
      <c r="T9" s="332"/>
    </row>
    <row r="10" spans="1:23" s="263" customFormat="1" ht="35.15" customHeight="1" x14ac:dyDescent="0.35">
      <c r="A10" s="255" t="s">
        <v>261</v>
      </c>
      <c r="B10" s="256"/>
      <c r="C10" s="234" t="s">
        <v>262</v>
      </c>
      <c r="D10" s="225">
        <f>SUM(D11,D15,D20,D29,D33,D26)</f>
        <v>5449580418</v>
      </c>
      <c r="E10" s="225">
        <f>SUM(E11,E15,E20,E29,E33,E26)</f>
        <v>0</v>
      </c>
      <c r="F10" s="225">
        <f>SUM(F11,F15,F20,F29,F33,F26)</f>
        <v>5449580418</v>
      </c>
      <c r="G10" s="226"/>
      <c r="H10" s="227">
        <f>H11+H15+H20+H26+H29+H33</f>
        <v>591183593</v>
      </c>
      <c r="I10" s="228"/>
      <c r="J10" s="227"/>
      <c r="K10" s="227"/>
      <c r="L10" s="226">
        <f>F10-H10</f>
        <v>4858396825</v>
      </c>
      <c r="M10" s="257"/>
    </row>
    <row r="11" spans="1:23" s="263" customFormat="1" ht="35.15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>
        <f>SUM(E12:E13)</f>
        <v>0</v>
      </c>
      <c r="F11" s="229">
        <f t="shared" ref="F11:F31" si="0">D11</f>
        <v>32976600</v>
      </c>
      <c r="G11" s="230"/>
      <c r="H11" s="231">
        <f>SUM(H12:H13)</f>
        <v>6100000</v>
      </c>
      <c r="I11" s="232"/>
      <c r="J11" s="231"/>
      <c r="K11" s="231"/>
      <c r="L11" s="230">
        <f>F11-H11</f>
        <v>26876600</v>
      </c>
      <c r="M11" s="260"/>
    </row>
    <row r="12" spans="1:23" s="263" customFormat="1" ht="16" customHeight="1" x14ac:dyDescent="0.35">
      <c r="A12" s="241" t="s">
        <v>234</v>
      </c>
      <c r="B12" s="242"/>
      <c r="C12" s="236" t="s">
        <v>197</v>
      </c>
      <c r="D12" s="217">
        <v>18731600</v>
      </c>
      <c r="E12" s="217">
        <v>0</v>
      </c>
      <c r="F12" s="217">
        <f>D12+E12</f>
        <v>18731600</v>
      </c>
      <c r="G12" s="220">
        <f>F12/$F$70*100</f>
        <v>0.28794857588801076</v>
      </c>
      <c r="H12" s="219">
        <v>6100000</v>
      </c>
      <c r="I12" s="220">
        <f>H12/F12*100</f>
        <v>32.565290738644862</v>
      </c>
      <c r="J12" s="221">
        <f>I12</f>
        <v>32.565290738644862</v>
      </c>
      <c r="K12" s="222">
        <f>J12*G12/100</f>
        <v>9.3771290915718133E-2</v>
      </c>
      <c r="L12" s="223">
        <f t="shared" ref="L12:L13" si="1">F12-H12</f>
        <v>12631600</v>
      </c>
      <c r="M12" s="244"/>
      <c r="O12" s="312"/>
      <c r="P12" s="312"/>
      <c r="R12" s="263">
        <v>3150000</v>
      </c>
      <c r="S12" s="263">
        <v>2950000</v>
      </c>
      <c r="U12" s="263">
        <f t="shared" ref="U12:U43" si="2">O12+Q12+S12</f>
        <v>2950000</v>
      </c>
      <c r="V12" s="263">
        <f t="shared" ref="V12:V43" si="3">P12+R12</f>
        <v>3150000</v>
      </c>
      <c r="W12" s="263">
        <f t="shared" ref="W12:W69" si="4">V12+U12</f>
        <v>6100000</v>
      </c>
    </row>
    <row r="13" spans="1:23" s="263" customFormat="1" ht="16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D13+E13</f>
        <v>14245000</v>
      </c>
      <c r="G13" s="220">
        <f>F13/$F$70*100</f>
        <v>0.21897902280236142</v>
      </c>
      <c r="H13" s="219">
        <v>0</v>
      </c>
      <c r="I13" s="220">
        <f>H13/F13*100</f>
        <v>0</v>
      </c>
      <c r="J13" s="221">
        <f>I13</f>
        <v>0</v>
      </c>
      <c r="K13" s="222">
        <f>J13*G13/100</f>
        <v>0</v>
      </c>
      <c r="L13" s="223">
        <f t="shared" si="1"/>
        <v>14245000</v>
      </c>
      <c r="M13" s="244"/>
      <c r="U13" s="263">
        <f t="shared" si="2"/>
        <v>0</v>
      </c>
      <c r="V13" s="263">
        <f t="shared" si="3"/>
        <v>0</v>
      </c>
      <c r="W13" s="263">
        <f t="shared" si="4"/>
        <v>0</v>
      </c>
    </row>
    <row r="14" spans="1:23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  <c r="U14" s="263">
        <f t="shared" si="2"/>
        <v>0</v>
      </c>
      <c r="V14" s="263">
        <f t="shared" si="3"/>
        <v>0</v>
      </c>
      <c r="W14" s="263">
        <f t="shared" si="4"/>
        <v>0</v>
      </c>
    </row>
    <row r="15" spans="1:23" s="263" customFormat="1" ht="16" customHeight="1" x14ac:dyDescent="0.35">
      <c r="A15" s="258" t="s">
        <v>236</v>
      </c>
      <c r="B15" s="259"/>
      <c r="C15" s="235" t="s">
        <v>199</v>
      </c>
      <c r="D15" s="229">
        <f>SUM(D16:D18)</f>
        <v>5091860378</v>
      </c>
      <c r="E15" s="229">
        <f>SUM(E16:E18)</f>
        <v>0</v>
      </c>
      <c r="F15" s="229">
        <f>SUM(F16:F18)</f>
        <v>5091860378</v>
      </c>
      <c r="G15" s="230"/>
      <c r="H15" s="231">
        <f>SUM(H16:H18)</f>
        <v>514598852</v>
      </c>
      <c r="I15" s="232"/>
      <c r="J15" s="231"/>
      <c r="K15" s="231"/>
      <c r="L15" s="230">
        <f>F15-H15</f>
        <v>4577261526</v>
      </c>
      <c r="M15" s="261"/>
      <c r="U15" s="263">
        <f t="shared" si="2"/>
        <v>0</v>
      </c>
      <c r="V15" s="263">
        <f t="shared" si="3"/>
        <v>0</v>
      </c>
      <c r="W15" s="263">
        <f t="shared" si="4"/>
        <v>0</v>
      </c>
    </row>
    <row r="16" spans="1:23" s="263" customFormat="1" ht="16" customHeight="1" x14ac:dyDescent="0.35">
      <c r="A16" s="241" t="s">
        <v>237</v>
      </c>
      <c r="B16" s="242"/>
      <c r="C16" s="243" t="s">
        <v>239</v>
      </c>
      <c r="D16" s="217">
        <v>4798303650</v>
      </c>
      <c r="E16" s="217">
        <v>0</v>
      </c>
      <c r="F16" s="217">
        <f>D16+E16</f>
        <v>4798303650</v>
      </c>
      <c r="G16" s="220">
        <f>F16/$F$70*100</f>
        <v>73.761168437065933</v>
      </c>
      <c r="H16" s="219">
        <v>474669374</v>
      </c>
      <c r="I16" s="220">
        <f>H16/F16*100</f>
        <v>9.8924413422647817</v>
      </c>
      <c r="J16" s="221">
        <f t="shared" ref="J16:J17" si="5">I16</f>
        <v>9.8924413422647817</v>
      </c>
      <c r="K16" s="222">
        <f>J16*G16/100</f>
        <v>7.2967803210058717</v>
      </c>
      <c r="L16" s="223">
        <f t="shared" ref="L16:L18" si="6">F16-H16</f>
        <v>4323634276</v>
      </c>
      <c r="M16" s="244"/>
      <c r="O16" s="263">
        <v>147855146</v>
      </c>
      <c r="Q16" s="263">
        <v>141600247</v>
      </c>
      <c r="S16" s="263">
        <f>151681981+14052000+19480000</f>
        <v>185213981</v>
      </c>
      <c r="U16" s="263">
        <f t="shared" si="2"/>
        <v>474669374</v>
      </c>
      <c r="V16" s="263">
        <f t="shared" si="3"/>
        <v>0</v>
      </c>
      <c r="W16" s="263">
        <f t="shared" si="4"/>
        <v>474669374</v>
      </c>
    </row>
    <row r="17" spans="1:23" s="263" customFormat="1" ht="16" customHeight="1" x14ac:dyDescent="0.35">
      <c r="A17" s="241" t="s">
        <v>240</v>
      </c>
      <c r="B17" s="242"/>
      <c r="C17" s="243" t="s">
        <v>200</v>
      </c>
      <c r="D17" s="217">
        <v>274466928</v>
      </c>
      <c r="E17" s="217">
        <v>0</v>
      </c>
      <c r="F17" s="217">
        <f t="shared" ref="F17:F18" si="7">D17+E17</f>
        <v>274466928</v>
      </c>
      <c r="G17" s="220">
        <f t="shared" ref="G17:G18" si="8">F17/$F$70*100</f>
        <v>4.2191996970871246</v>
      </c>
      <c r="H17" s="219">
        <v>39929478</v>
      </c>
      <c r="I17" s="220">
        <f t="shared" ref="I17:I18" si="9">H17/F17*100</f>
        <v>14.548010680543634</v>
      </c>
      <c r="J17" s="221">
        <f t="shared" si="5"/>
        <v>14.548010680543634</v>
      </c>
      <c r="K17" s="222">
        <f>J17*G17/100</f>
        <v>0.61380962256569949</v>
      </c>
      <c r="L17" s="223">
        <f t="shared" si="6"/>
        <v>234537450</v>
      </c>
      <c r="M17" s="244"/>
      <c r="P17" s="263">
        <f>1078920+11800000</f>
        <v>12878920</v>
      </c>
      <c r="R17" s="263">
        <f>6665758+2230000+11800000</f>
        <v>20695758</v>
      </c>
      <c r="S17" s="263">
        <f>6354800</f>
        <v>6354800</v>
      </c>
      <c r="U17" s="263">
        <f t="shared" si="2"/>
        <v>6354800</v>
      </c>
      <c r="V17" s="263">
        <f t="shared" si="3"/>
        <v>33574678</v>
      </c>
      <c r="W17" s="263">
        <f t="shared" si="4"/>
        <v>39929478</v>
      </c>
    </row>
    <row r="18" spans="1:23" s="263" customFormat="1" ht="30.75" customHeight="1" x14ac:dyDescent="0.35">
      <c r="A18" s="241" t="s">
        <v>288</v>
      </c>
      <c r="B18" s="242"/>
      <c r="C18" s="243" t="s">
        <v>317</v>
      </c>
      <c r="D18" s="217">
        <v>19089800</v>
      </c>
      <c r="E18" s="217">
        <v>0</v>
      </c>
      <c r="F18" s="217">
        <f t="shared" si="7"/>
        <v>19089800</v>
      </c>
      <c r="G18" s="220">
        <f t="shared" si="8"/>
        <v>0.29345494906932396</v>
      </c>
      <c r="H18" s="219">
        <v>0</v>
      </c>
      <c r="I18" s="220">
        <f t="shared" si="9"/>
        <v>0</v>
      </c>
      <c r="J18" s="221">
        <f t="shared" ref="J18" si="10">I18</f>
        <v>0</v>
      </c>
      <c r="K18" s="222">
        <f>J18*G18/100</f>
        <v>0</v>
      </c>
      <c r="L18" s="223">
        <f t="shared" si="6"/>
        <v>19089800</v>
      </c>
      <c r="M18" s="244"/>
      <c r="U18" s="263">
        <f t="shared" si="2"/>
        <v>0</v>
      </c>
      <c r="V18" s="263">
        <f t="shared" si="3"/>
        <v>0</v>
      </c>
      <c r="W18" s="263">
        <f t="shared" si="4"/>
        <v>0</v>
      </c>
    </row>
    <row r="19" spans="1:23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U19" s="263">
        <f t="shared" si="2"/>
        <v>0</v>
      </c>
      <c r="V19" s="263">
        <f t="shared" si="3"/>
        <v>0</v>
      </c>
      <c r="W19" s="263">
        <f t="shared" si="4"/>
        <v>0</v>
      </c>
    </row>
    <row r="20" spans="1:23" s="263" customFormat="1" ht="16" customHeight="1" x14ac:dyDescent="0.35">
      <c r="A20" s="264" t="s">
        <v>231</v>
      </c>
      <c r="B20" s="259"/>
      <c r="C20" s="265" t="s">
        <v>193</v>
      </c>
      <c r="D20" s="229">
        <f>SUM(D21:D24)</f>
        <v>127531800</v>
      </c>
      <c r="E20" s="229"/>
      <c r="F20" s="229">
        <f>SUM(F21:F24)</f>
        <v>127531800</v>
      </c>
      <c r="G20" s="230"/>
      <c r="H20" s="231">
        <f>SUM(H21:H24)</f>
        <v>39350858</v>
      </c>
      <c r="I20" s="232"/>
      <c r="J20" s="231"/>
      <c r="K20" s="231"/>
      <c r="L20" s="230">
        <f>F20-H20</f>
        <v>88180942</v>
      </c>
      <c r="M20" s="266"/>
      <c r="U20" s="263">
        <f t="shared" si="2"/>
        <v>0</v>
      </c>
      <c r="V20" s="263">
        <f t="shared" si="3"/>
        <v>0</v>
      </c>
      <c r="W20" s="263">
        <f t="shared" si="4"/>
        <v>0</v>
      </c>
    </row>
    <row r="21" spans="1:23" s="263" customFormat="1" ht="35.15" customHeight="1" x14ac:dyDescent="0.35">
      <c r="A21" s="241" t="s">
        <v>232</v>
      </c>
      <c r="B21" s="242"/>
      <c r="C21" s="243" t="s">
        <v>42</v>
      </c>
      <c r="D21" s="219">
        <v>1968000</v>
      </c>
      <c r="E21" s="217">
        <v>0</v>
      </c>
      <c r="F21" s="217">
        <f>D21+E21</f>
        <v>1968000</v>
      </c>
      <c r="G21" s="220">
        <f>F21/$F$70*100</f>
        <v>3.0252770577398898E-2</v>
      </c>
      <c r="H21" s="219">
        <v>490400</v>
      </c>
      <c r="I21" s="220">
        <f>H21/F21*100</f>
        <v>24.918699186991869</v>
      </c>
      <c r="J21" s="221">
        <f>I21</f>
        <v>24.918699186991869</v>
      </c>
      <c r="K21" s="222">
        <f>J21*G21/100</f>
        <v>7.5385968959128143E-3</v>
      </c>
      <c r="L21" s="223">
        <f t="shared" ref="L21:L24" si="11">F21-H21</f>
        <v>1477600</v>
      </c>
      <c r="M21" s="267"/>
      <c r="P21" s="263">
        <v>490400</v>
      </c>
      <c r="U21" s="263">
        <f t="shared" si="2"/>
        <v>0</v>
      </c>
      <c r="V21" s="263">
        <f t="shared" si="3"/>
        <v>490400</v>
      </c>
      <c r="W21" s="263">
        <f t="shared" si="4"/>
        <v>490400</v>
      </c>
    </row>
    <row r="22" spans="1:23" s="263" customFormat="1" ht="16" customHeight="1" x14ac:dyDescent="0.35">
      <c r="A22" s="241" t="s">
        <v>241</v>
      </c>
      <c r="B22" s="242"/>
      <c r="C22" s="236" t="s">
        <v>194</v>
      </c>
      <c r="D22" s="219">
        <v>32694600</v>
      </c>
      <c r="E22" s="217">
        <v>0</v>
      </c>
      <c r="F22" s="217">
        <f>D22+E22</f>
        <v>32694600</v>
      </c>
      <c r="G22" s="220">
        <f t="shared" ref="G22:G24" si="12">F22/$F$70*100</f>
        <v>0.50259259802836687</v>
      </c>
      <c r="H22" s="219">
        <v>7932900</v>
      </c>
      <c r="I22" s="220">
        <f t="shared" ref="I22:I24" si="13">H22/F22*100</f>
        <v>24.263639867134021</v>
      </c>
      <c r="J22" s="221">
        <f t="shared" ref="J22:J24" si="14">I22</f>
        <v>24.263639867134021</v>
      </c>
      <c r="K22" s="222">
        <f>J22*G22/100</f>
        <v>0.12194725798447546</v>
      </c>
      <c r="L22" s="223">
        <f t="shared" si="11"/>
        <v>24761700</v>
      </c>
      <c r="M22" s="244"/>
      <c r="P22" s="263">
        <f>601400+1975300+1517600+1924200+1914400</f>
        <v>7932900</v>
      </c>
      <c r="U22" s="263">
        <f t="shared" si="2"/>
        <v>0</v>
      </c>
      <c r="V22" s="263">
        <f t="shared" si="3"/>
        <v>7932900</v>
      </c>
      <c r="W22" s="263">
        <f t="shared" si="4"/>
        <v>7932900</v>
      </c>
    </row>
    <row r="23" spans="1:23" s="263" customFormat="1" ht="16" customHeight="1" x14ac:dyDescent="0.35">
      <c r="A23" s="241" t="s">
        <v>242</v>
      </c>
      <c r="B23" s="242"/>
      <c r="C23" s="243" t="s">
        <v>40</v>
      </c>
      <c r="D23" s="219">
        <v>11274200</v>
      </c>
      <c r="E23" s="217">
        <v>0</v>
      </c>
      <c r="F23" s="217">
        <f t="shared" ref="F23:F24" si="15">D23+E23</f>
        <v>11274200</v>
      </c>
      <c r="G23" s="220">
        <f t="shared" si="12"/>
        <v>0.17331086689212938</v>
      </c>
      <c r="H23" s="219">
        <v>2749000</v>
      </c>
      <c r="I23" s="220">
        <f t="shared" si="13"/>
        <v>24.383104787922868</v>
      </c>
      <c r="J23" s="221">
        <f t="shared" si="14"/>
        <v>24.383104787922868</v>
      </c>
      <c r="K23" s="222">
        <f>J23*G23/100</f>
        <v>4.2258570283165424E-2</v>
      </c>
      <c r="L23" s="223">
        <f t="shared" si="11"/>
        <v>8525200</v>
      </c>
      <c r="M23" s="244"/>
      <c r="P23" s="263">
        <f>1749000+1000000</f>
        <v>2749000</v>
      </c>
      <c r="U23" s="263">
        <f t="shared" si="2"/>
        <v>0</v>
      </c>
      <c r="V23" s="263">
        <f t="shared" si="3"/>
        <v>2749000</v>
      </c>
      <c r="W23" s="263">
        <f t="shared" si="4"/>
        <v>2749000</v>
      </c>
    </row>
    <row r="24" spans="1:23" s="263" customFormat="1" ht="16" customHeight="1" x14ac:dyDescent="0.35">
      <c r="A24" s="241" t="s">
        <v>243</v>
      </c>
      <c r="B24" s="242"/>
      <c r="C24" s="243" t="s">
        <v>195</v>
      </c>
      <c r="D24" s="219">
        <v>81595000</v>
      </c>
      <c r="E24" s="217">
        <v>0</v>
      </c>
      <c r="F24" s="217">
        <f t="shared" si="15"/>
        <v>81595000</v>
      </c>
      <c r="G24" s="220">
        <f t="shared" si="12"/>
        <v>1.254306308568528</v>
      </c>
      <c r="H24" s="219">
        <v>28178558</v>
      </c>
      <c r="I24" s="220">
        <f t="shared" si="13"/>
        <v>34.534662663153384</v>
      </c>
      <c r="J24" s="221">
        <f t="shared" si="14"/>
        <v>34.534662663153384</v>
      </c>
      <c r="K24" s="222">
        <f>J24*G24/100</f>
        <v>0.43317045242679292</v>
      </c>
      <c r="L24" s="223">
        <f t="shared" si="11"/>
        <v>53416442</v>
      </c>
      <c r="M24" s="244"/>
      <c r="P24" s="263">
        <f>1125000+3510000</f>
        <v>4635000</v>
      </c>
      <c r="Q24" s="263">
        <v>9419900</v>
      </c>
      <c r="R24" s="263">
        <f>4540000+2502658</f>
        <v>7042658</v>
      </c>
      <c r="S24" s="263">
        <v>7081000</v>
      </c>
      <c r="U24" s="263">
        <f t="shared" si="2"/>
        <v>16500900</v>
      </c>
      <c r="V24" s="263">
        <f t="shared" si="3"/>
        <v>11677658</v>
      </c>
      <c r="W24" s="263">
        <f t="shared" si="4"/>
        <v>28178558</v>
      </c>
    </row>
    <row r="25" spans="1:23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U25" s="263">
        <f t="shared" si="2"/>
        <v>0</v>
      </c>
      <c r="V25" s="263">
        <f t="shared" si="3"/>
        <v>0</v>
      </c>
      <c r="W25" s="263">
        <f t="shared" si="4"/>
        <v>0</v>
      </c>
    </row>
    <row r="26" spans="1:23" s="263" customFormat="1" ht="35.15" customHeight="1" x14ac:dyDescent="0.35">
      <c r="A26" s="258" t="s">
        <v>281</v>
      </c>
      <c r="B26" s="259"/>
      <c r="C26" s="235" t="s">
        <v>282</v>
      </c>
      <c r="D26" s="229">
        <f>SUM(D27:D27)</f>
        <v>0</v>
      </c>
      <c r="E26" s="229">
        <f>E27</f>
        <v>0</v>
      </c>
      <c r="F26" s="229">
        <f>F27</f>
        <v>0</v>
      </c>
      <c r="G26" s="230"/>
      <c r="H26" s="231">
        <f>H27</f>
        <v>0</v>
      </c>
      <c r="I26" s="232"/>
      <c r="J26" s="231"/>
      <c r="K26" s="231"/>
      <c r="L26" s="230">
        <f>F26-H26</f>
        <v>0</v>
      </c>
      <c r="M26" s="261"/>
      <c r="U26" s="263">
        <f t="shared" si="2"/>
        <v>0</v>
      </c>
      <c r="V26" s="263">
        <f t="shared" si="3"/>
        <v>0</v>
      </c>
      <c r="W26" s="263">
        <f t="shared" si="4"/>
        <v>0</v>
      </c>
    </row>
    <row r="27" spans="1:23" s="263" customFormat="1" ht="16" customHeight="1" x14ac:dyDescent="0.35">
      <c r="A27" s="241" t="s">
        <v>283</v>
      </c>
      <c r="B27" s="242"/>
      <c r="C27" s="243" t="s">
        <v>284</v>
      </c>
      <c r="D27" s="217">
        <v>0</v>
      </c>
      <c r="E27" s="217">
        <v>0</v>
      </c>
      <c r="F27" s="217">
        <f>E27</f>
        <v>0</v>
      </c>
      <c r="G27" s="220">
        <f>F27/$F$70*100</f>
        <v>0</v>
      </c>
      <c r="H27" s="219">
        <v>0</v>
      </c>
      <c r="I27" s="220">
        <v>0</v>
      </c>
      <c r="J27" s="221">
        <f t="shared" ref="J27" si="16">I27</f>
        <v>0</v>
      </c>
      <c r="K27" s="222">
        <f>J27*G27/100</f>
        <v>0</v>
      </c>
      <c r="L27" s="223">
        <f>F27-H27</f>
        <v>0</v>
      </c>
      <c r="M27" s="244"/>
      <c r="U27" s="263">
        <f t="shared" si="2"/>
        <v>0</v>
      </c>
      <c r="V27" s="263">
        <f t="shared" si="3"/>
        <v>0</v>
      </c>
      <c r="W27" s="263">
        <f t="shared" si="4"/>
        <v>0</v>
      </c>
    </row>
    <row r="28" spans="1:23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  <c r="U28" s="263">
        <f t="shared" si="2"/>
        <v>0</v>
      </c>
      <c r="V28" s="263">
        <f t="shared" si="3"/>
        <v>0</v>
      </c>
      <c r="W28" s="263">
        <f t="shared" si="4"/>
        <v>0</v>
      </c>
    </row>
    <row r="29" spans="1:23" s="263" customFormat="1" ht="35.15" customHeight="1" x14ac:dyDescent="0.35">
      <c r="A29" s="258" t="s">
        <v>244</v>
      </c>
      <c r="B29" s="259"/>
      <c r="C29" s="235" t="s">
        <v>201</v>
      </c>
      <c r="D29" s="229">
        <f>SUM(D30:D31)</f>
        <v>58148040</v>
      </c>
      <c r="E29" s="229">
        <f>SUM(E30:E31)</f>
        <v>0</v>
      </c>
      <c r="F29" s="229">
        <f t="shared" si="0"/>
        <v>58148040</v>
      </c>
      <c r="G29" s="230"/>
      <c r="H29" s="231">
        <f>SUM(H30:H31)</f>
        <v>12733883</v>
      </c>
      <c r="I29" s="232"/>
      <c r="J29" s="231"/>
      <c r="K29" s="231"/>
      <c r="L29" s="230">
        <f>F29-H29</f>
        <v>45414157</v>
      </c>
      <c r="M29" s="261"/>
      <c r="U29" s="263">
        <f t="shared" si="2"/>
        <v>0</v>
      </c>
      <c r="V29" s="263">
        <f t="shared" si="3"/>
        <v>0</v>
      </c>
      <c r="W29" s="263">
        <f t="shared" si="4"/>
        <v>0</v>
      </c>
    </row>
    <row r="30" spans="1:23" s="263" customFormat="1" ht="16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" si="17">D30</f>
        <v>2496600</v>
      </c>
      <c r="G30" s="220">
        <f>F30/$F$70*100</f>
        <v>3.8378590967242936E-2</v>
      </c>
      <c r="H30" s="219">
        <v>592800</v>
      </c>
      <c r="I30" s="220">
        <f>H30/F30*100</f>
        <v>23.74429223744292</v>
      </c>
      <c r="J30" s="221">
        <f t="shared" ref="J30" si="18">I30</f>
        <v>23.74429223744292</v>
      </c>
      <c r="K30" s="222">
        <f>J30*G30/100</f>
        <v>9.1127247958750351E-3</v>
      </c>
      <c r="L30" s="223">
        <f t="shared" ref="L30:L31" si="19">F30-H30</f>
        <v>1903800</v>
      </c>
      <c r="M30" s="244"/>
      <c r="P30" s="263">
        <v>592800</v>
      </c>
      <c r="U30" s="263">
        <f t="shared" si="2"/>
        <v>0</v>
      </c>
      <c r="V30" s="263">
        <f t="shared" si="3"/>
        <v>592800</v>
      </c>
      <c r="W30" s="263">
        <f t="shared" si="4"/>
        <v>592800</v>
      </c>
    </row>
    <row r="31" spans="1:23" s="263" customFormat="1" ht="16" customHeight="1" x14ac:dyDescent="0.35">
      <c r="A31" s="241" t="s">
        <v>245</v>
      </c>
      <c r="B31" s="242"/>
      <c r="C31" s="243" t="s">
        <v>202</v>
      </c>
      <c r="D31" s="217">
        <v>55651440</v>
      </c>
      <c r="E31" s="217">
        <v>0</v>
      </c>
      <c r="F31" s="217">
        <f t="shared" si="0"/>
        <v>55651440</v>
      </c>
      <c r="G31" s="220">
        <f>F31/$F$70*100</f>
        <v>0.85549301149485768</v>
      </c>
      <c r="H31" s="219">
        <v>12141083</v>
      </c>
      <c r="I31" s="220">
        <f>H31/F31*100</f>
        <v>21.816296218031376</v>
      </c>
      <c r="J31" s="221">
        <f t="shared" ref="J31" si="20">I31</f>
        <v>21.816296218031376</v>
      </c>
      <c r="K31" s="222">
        <f>J31*G31/100</f>
        <v>0.18663688951227533</v>
      </c>
      <c r="L31" s="223">
        <f t="shared" si="19"/>
        <v>43510357</v>
      </c>
      <c r="M31" s="244"/>
      <c r="P31" s="263">
        <f>3167137+779040+3520277+788470</f>
        <v>8254924</v>
      </c>
      <c r="R31" s="263">
        <f>3284649+601510</f>
        <v>3886159</v>
      </c>
      <c r="U31" s="263">
        <f t="shared" si="2"/>
        <v>0</v>
      </c>
      <c r="V31" s="263">
        <f t="shared" si="3"/>
        <v>12141083</v>
      </c>
      <c r="W31" s="263">
        <f t="shared" si="4"/>
        <v>12141083</v>
      </c>
    </row>
    <row r="32" spans="1:23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  <c r="U32" s="263">
        <f t="shared" si="2"/>
        <v>0</v>
      </c>
      <c r="V32" s="263">
        <f t="shared" si="3"/>
        <v>0</v>
      </c>
      <c r="W32" s="263">
        <f t="shared" si="4"/>
        <v>0</v>
      </c>
    </row>
    <row r="33" spans="1:23" s="263" customFormat="1" ht="35.15" customHeight="1" x14ac:dyDescent="0.35">
      <c r="A33" s="258" t="s">
        <v>246</v>
      </c>
      <c r="B33" s="259"/>
      <c r="C33" s="235" t="s">
        <v>203</v>
      </c>
      <c r="D33" s="229">
        <f>SUM(D34:D35)</f>
        <v>139063600</v>
      </c>
      <c r="E33" s="229">
        <f>SUM(E34:E35)</f>
        <v>0</v>
      </c>
      <c r="F33" s="229">
        <f>SUM(F34:F35)</f>
        <v>139063600</v>
      </c>
      <c r="G33" s="230"/>
      <c r="H33" s="231">
        <f>SUM(H34:H35)</f>
        <v>18400000</v>
      </c>
      <c r="I33" s="232"/>
      <c r="J33" s="231"/>
      <c r="K33" s="231"/>
      <c r="L33" s="230">
        <f>F33-H33</f>
        <v>120663600</v>
      </c>
      <c r="M33" s="261"/>
      <c r="U33" s="263">
        <f t="shared" si="2"/>
        <v>0</v>
      </c>
      <c r="V33" s="263">
        <f t="shared" si="3"/>
        <v>0</v>
      </c>
      <c r="W33" s="263">
        <f t="shared" si="4"/>
        <v>0</v>
      </c>
    </row>
    <row r="34" spans="1:23" s="263" customFormat="1" ht="35.15" customHeight="1" x14ac:dyDescent="0.35">
      <c r="A34" s="241" t="s">
        <v>247</v>
      </c>
      <c r="B34" s="242"/>
      <c r="C34" s="243" t="s">
        <v>308</v>
      </c>
      <c r="D34" s="217">
        <v>137843600</v>
      </c>
      <c r="E34" s="217">
        <v>0</v>
      </c>
      <c r="F34" s="217">
        <f>D34+E34</f>
        <v>137843600</v>
      </c>
      <c r="G34" s="220">
        <f>F34/$F$70*100</f>
        <v>2.118979068273751</v>
      </c>
      <c r="H34" s="219">
        <v>18400000</v>
      </c>
      <c r="I34" s="220">
        <f t="shared" ref="I34:I35" si="21">H34/F34*100</f>
        <v>13.348461589801774</v>
      </c>
      <c r="J34" s="221">
        <f t="shared" ref="J34:J35" si="22">I34</f>
        <v>13.348461589801774</v>
      </c>
      <c r="K34" s="222">
        <f>J34*G34/100</f>
        <v>0.28285110702446115</v>
      </c>
      <c r="L34" s="223">
        <f t="shared" ref="L34:L35" si="23">F34-H34</f>
        <v>119443600</v>
      </c>
      <c r="M34" s="244"/>
      <c r="P34" s="263">
        <v>9200000</v>
      </c>
      <c r="R34" s="263">
        <v>9200000</v>
      </c>
      <c r="U34" s="263">
        <f t="shared" si="2"/>
        <v>0</v>
      </c>
      <c r="V34" s="263">
        <f t="shared" si="3"/>
        <v>18400000</v>
      </c>
      <c r="W34" s="263">
        <f t="shared" si="4"/>
        <v>18400000</v>
      </c>
    </row>
    <row r="35" spans="1:23" s="263" customFormat="1" ht="35.15" customHeight="1" x14ac:dyDescent="0.35">
      <c r="A35" s="241" t="s">
        <v>248</v>
      </c>
      <c r="B35" s="242"/>
      <c r="C35" s="243" t="s">
        <v>285</v>
      </c>
      <c r="D35" s="217">
        <v>1220000</v>
      </c>
      <c r="E35" s="217">
        <v>0</v>
      </c>
      <c r="F35" s="217">
        <f>D35+E35</f>
        <v>1220000</v>
      </c>
      <c r="G35" s="220">
        <f>F35/$F$70*100</f>
        <v>1.8754258183143625E-2</v>
      </c>
      <c r="H35" s="219">
        <v>0</v>
      </c>
      <c r="I35" s="220">
        <f t="shared" si="21"/>
        <v>0</v>
      </c>
      <c r="J35" s="221">
        <f t="shared" si="22"/>
        <v>0</v>
      </c>
      <c r="K35" s="222">
        <f>J35*G35/100</f>
        <v>0</v>
      </c>
      <c r="L35" s="223">
        <f t="shared" si="23"/>
        <v>1220000</v>
      </c>
      <c r="M35" s="244"/>
      <c r="U35" s="263">
        <f t="shared" si="2"/>
        <v>0</v>
      </c>
      <c r="V35" s="263">
        <f t="shared" si="3"/>
        <v>0</v>
      </c>
      <c r="W35" s="263">
        <f t="shared" si="4"/>
        <v>0</v>
      </c>
    </row>
    <row r="36" spans="1:23" s="263" customFormat="1" ht="15" customHeight="1" x14ac:dyDescent="0.35">
      <c r="A36" s="241"/>
      <c r="B36" s="262"/>
      <c r="C36" s="243"/>
      <c r="D36" s="217"/>
      <c r="E36" s="217"/>
      <c r="F36" s="218"/>
      <c r="G36" s="220"/>
      <c r="H36" s="219"/>
      <c r="I36" s="220"/>
      <c r="J36" s="221"/>
      <c r="K36" s="222"/>
      <c r="L36" s="295"/>
      <c r="M36" s="244"/>
      <c r="U36" s="263">
        <f t="shared" si="2"/>
        <v>0</v>
      </c>
      <c r="V36" s="263">
        <f t="shared" si="3"/>
        <v>0</v>
      </c>
      <c r="W36" s="263">
        <f t="shared" si="4"/>
        <v>0</v>
      </c>
    </row>
    <row r="37" spans="1:23" s="263" customFormat="1" ht="35.15" customHeight="1" x14ac:dyDescent="0.35">
      <c r="A37" s="255" t="s">
        <v>263</v>
      </c>
      <c r="B37" s="256"/>
      <c r="C37" s="234" t="s">
        <v>264</v>
      </c>
      <c r="D37" s="225">
        <f>SUM(D38,D41)</f>
        <v>306520000</v>
      </c>
      <c r="E37" s="225">
        <f>SUM(E38,E41)</f>
        <v>0</v>
      </c>
      <c r="F37" s="225">
        <f>SUM(F38,F41)</f>
        <v>306520000</v>
      </c>
      <c r="G37" s="226"/>
      <c r="H37" s="227">
        <f>H38+H41</f>
        <v>38600000</v>
      </c>
      <c r="I37" s="228"/>
      <c r="J37" s="227"/>
      <c r="K37" s="227"/>
      <c r="L37" s="226">
        <f>F37-H37</f>
        <v>267920000</v>
      </c>
      <c r="M37" s="257"/>
      <c r="U37" s="263">
        <f t="shared" si="2"/>
        <v>0</v>
      </c>
      <c r="V37" s="263">
        <f t="shared" si="3"/>
        <v>0</v>
      </c>
      <c r="W37" s="263">
        <f t="shared" si="4"/>
        <v>0</v>
      </c>
    </row>
    <row r="38" spans="1:23" s="263" customFormat="1" ht="50.15" customHeight="1" x14ac:dyDescent="0.35">
      <c r="A38" s="258" t="s">
        <v>258</v>
      </c>
      <c r="B38" s="259"/>
      <c r="C38" s="235" t="s">
        <v>205</v>
      </c>
      <c r="D38" s="229">
        <f>SUM(D39:D39)</f>
        <v>207120000</v>
      </c>
      <c r="E38" s="229">
        <f>SUM(E39:E39)</f>
        <v>0</v>
      </c>
      <c r="F38" s="229">
        <f>F39</f>
        <v>207120000</v>
      </c>
      <c r="G38" s="230"/>
      <c r="H38" s="231">
        <f>SUM(H39:H39)</f>
        <v>29200000</v>
      </c>
      <c r="I38" s="232"/>
      <c r="J38" s="231"/>
      <c r="K38" s="231"/>
      <c r="L38" s="230">
        <f>F38-H38</f>
        <v>177920000</v>
      </c>
      <c r="M38" s="260"/>
      <c r="U38" s="263">
        <f t="shared" si="2"/>
        <v>0</v>
      </c>
      <c r="V38" s="263">
        <f t="shared" si="3"/>
        <v>0</v>
      </c>
      <c r="W38" s="263">
        <f t="shared" si="4"/>
        <v>0</v>
      </c>
    </row>
    <row r="39" spans="1:23" s="263" customFormat="1" ht="35.15" customHeight="1" x14ac:dyDescent="0.35">
      <c r="A39" s="241" t="s">
        <v>274</v>
      </c>
      <c r="B39" s="262"/>
      <c r="C39" s="236" t="s">
        <v>206</v>
      </c>
      <c r="D39" s="217">
        <v>207120000</v>
      </c>
      <c r="E39" s="217">
        <v>0</v>
      </c>
      <c r="F39" s="217">
        <f>D39+E39</f>
        <v>207120000</v>
      </c>
      <c r="G39" s="220">
        <f>F39/$F$70*100</f>
        <v>3.1839196351579573</v>
      </c>
      <c r="H39" s="219">
        <v>29200000</v>
      </c>
      <c r="I39" s="220">
        <f>H39/F39*100</f>
        <v>14.098107377365778</v>
      </c>
      <c r="J39" s="221">
        <f t="shared" ref="J39" si="24">I39</f>
        <v>14.098107377365778</v>
      </c>
      <c r="K39" s="222">
        <f>J39*G39/100</f>
        <v>0.44887240897360159</v>
      </c>
      <c r="L39" s="223">
        <f>F39-H39</f>
        <v>177920000</v>
      </c>
      <c r="M39" s="244"/>
      <c r="P39" s="263">
        <v>14000000</v>
      </c>
      <c r="R39" s="263">
        <v>14000000</v>
      </c>
      <c r="S39" s="263">
        <v>1200000</v>
      </c>
      <c r="U39" s="263">
        <f t="shared" si="2"/>
        <v>1200000</v>
      </c>
      <c r="V39" s="263">
        <f t="shared" si="3"/>
        <v>28000000</v>
      </c>
      <c r="W39" s="263">
        <f t="shared" si="4"/>
        <v>29200000</v>
      </c>
    </row>
    <row r="40" spans="1:23" s="263" customFormat="1" ht="15" customHeight="1" x14ac:dyDescent="0.35">
      <c r="A40" s="241"/>
      <c r="B40" s="262"/>
      <c r="C40" s="236"/>
      <c r="D40" s="217"/>
      <c r="E40" s="217"/>
      <c r="F40" s="218"/>
      <c r="G40" s="220"/>
      <c r="H40" s="219"/>
      <c r="I40" s="220"/>
      <c r="J40" s="221"/>
      <c r="K40" s="222"/>
      <c r="L40" s="223"/>
      <c r="M40" s="244"/>
      <c r="U40" s="263">
        <f t="shared" si="2"/>
        <v>0</v>
      </c>
      <c r="V40" s="263">
        <f t="shared" si="3"/>
        <v>0</v>
      </c>
      <c r="W40" s="263">
        <f t="shared" si="4"/>
        <v>0</v>
      </c>
    </row>
    <row r="41" spans="1:23" s="263" customFormat="1" ht="35.15" customHeight="1" x14ac:dyDescent="0.35">
      <c r="A41" s="258" t="s">
        <v>259</v>
      </c>
      <c r="B41" s="259"/>
      <c r="C41" s="235" t="s">
        <v>207</v>
      </c>
      <c r="D41" s="229">
        <f>SUM(D42:D42)</f>
        <v>99400000</v>
      </c>
      <c r="E41" s="229">
        <f>SUM(E42:E42)</f>
        <v>0</v>
      </c>
      <c r="F41" s="229">
        <f>F42</f>
        <v>99400000</v>
      </c>
      <c r="G41" s="230"/>
      <c r="H41" s="231">
        <f>H42</f>
        <v>9400000</v>
      </c>
      <c r="I41" s="232"/>
      <c r="J41" s="231"/>
      <c r="K41" s="231"/>
      <c r="L41" s="230">
        <f>F41-H41</f>
        <v>90000000</v>
      </c>
      <c r="M41" s="260"/>
      <c r="U41" s="263">
        <f t="shared" si="2"/>
        <v>0</v>
      </c>
      <c r="V41" s="263">
        <f t="shared" si="3"/>
        <v>0</v>
      </c>
      <c r="W41" s="263">
        <f t="shared" si="4"/>
        <v>0</v>
      </c>
    </row>
    <row r="42" spans="1:23" s="263" customFormat="1" ht="35.15" customHeight="1" x14ac:dyDescent="0.35">
      <c r="A42" s="241" t="s">
        <v>260</v>
      </c>
      <c r="B42" s="262"/>
      <c r="C42" s="236" t="s">
        <v>208</v>
      </c>
      <c r="D42" s="217">
        <v>99400000</v>
      </c>
      <c r="E42" s="217">
        <v>0</v>
      </c>
      <c r="F42" s="217">
        <f>D42+E42</f>
        <v>99400000</v>
      </c>
      <c r="G42" s="220">
        <f>F42/$F$70*100</f>
        <v>1.5280108716430134</v>
      </c>
      <c r="H42" s="219">
        <v>9400000</v>
      </c>
      <c r="I42" s="220">
        <f>H42/F42*100</f>
        <v>9.4567404426559349</v>
      </c>
      <c r="J42" s="221">
        <f t="shared" ref="J42" si="25">I42</f>
        <v>9.4567404426559349</v>
      </c>
      <c r="K42" s="222">
        <f>J42*G42/100</f>
        <v>0.14450002206684431</v>
      </c>
      <c r="L42" s="223">
        <f>F42-H42</f>
        <v>90000000</v>
      </c>
      <c r="M42" s="244"/>
      <c r="P42" s="263">
        <v>4700000</v>
      </c>
      <c r="R42" s="263">
        <v>4700000</v>
      </c>
      <c r="U42" s="263">
        <f t="shared" si="2"/>
        <v>0</v>
      </c>
      <c r="V42" s="263">
        <f t="shared" si="3"/>
        <v>9400000</v>
      </c>
      <c r="W42" s="263">
        <f t="shared" si="4"/>
        <v>9400000</v>
      </c>
    </row>
    <row r="43" spans="1:23" s="263" customFormat="1" ht="15" customHeight="1" x14ac:dyDescent="0.35">
      <c r="A43" s="241"/>
      <c r="B43" s="262"/>
      <c r="C43" s="236"/>
      <c r="D43" s="217"/>
      <c r="E43" s="217"/>
      <c r="F43" s="218"/>
      <c r="G43" s="220"/>
      <c r="H43" s="219"/>
      <c r="I43" s="220"/>
      <c r="J43" s="221"/>
      <c r="K43" s="222"/>
      <c r="L43" s="223"/>
      <c r="M43" s="244"/>
      <c r="U43" s="263">
        <f t="shared" si="2"/>
        <v>0</v>
      </c>
      <c r="V43" s="263">
        <f t="shared" si="3"/>
        <v>0</v>
      </c>
      <c r="W43" s="263">
        <f t="shared" si="4"/>
        <v>0</v>
      </c>
    </row>
    <row r="44" spans="1:23" s="263" customFormat="1" ht="35.15" customHeight="1" x14ac:dyDescent="0.35">
      <c r="A44" s="255" t="s">
        <v>265</v>
      </c>
      <c r="B44" s="256"/>
      <c r="C44" s="234" t="s">
        <v>266</v>
      </c>
      <c r="D44" s="225">
        <f>SUM(D45)</f>
        <v>194422500</v>
      </c>
      <c r="E44" s="225">
        <f>SUM(E45)</f>
        <v>0</v>
      </c>
      <c r="F44" s="225">
        <f>F45</f>
        <v>194422500</v>
      </c>
      <c r="G44" s="226"/>
      <c r="H44" s="227">
        <f>H45</f>
        <v>13501000</v>
      </c>
      <c r="I44" s="228"/>
      <c r="J44" s="227"/>
      <c r="K44" s="227"/>
      <c r="L44" s="226">
        <f>F44-H44</f>
        <v>180921500</v>
      </c>
      <c r="M44" s="257"/>
      <c r="U44" s="263">
        <f t="shared" ref="U44:U69" si="26">O44+Q44+S44</f>
        <v>0</v>
      </c>
      <c r="V44" s="263">
        <f t="shared" ref="V44:V69" si="27">P44+R44</f>
        <v>0</v>
      </c>
      <c r="W44" s="263">
        <f t="shared" si="4"/>
        <v>0</v>
      </c>
    </row>
    <row r="45" spans="1:23" s="263" customFormat="1" ht="16" customHeight="1" x14ac:dyDescent="0.35">
      <c r="A45" s="258" t="s">
        <v>228</v>
      </c>
      <c r="B45" s="259"/>
      <c r="C45" s="235" t="s">
        <v>209</v>
      </c>
      <c r="D45" s="229">
        <f>SUM(D46:D47)</f>
        <v>194422500</v>
      </c>
      <c r="E45" s="229">
        <f>SUM(E46:E47)</f>
        <v>0</v>
      </c>
      <c r="F45" s="229">
        <f>SUM(F46:F47)</f>
        <v>194422500</v>
      </c>
      <c r="G45" s="230"/>
      <c r="H45" s="231">
        <f>SUM(H46:H47)</f>
        <v>13501000</v>
      </c>
      <c r="I45" s="232"/>
      <c r="J45" s="231"/>
      <c r="K45" s="231"/>
      <c r="L45" s="230">
        <f>F45-H45</f>
        <v>180921500</v>
      </c>
      <c r="M45" s="260"/>
      <c r="U45" s="263">
        <f t="shared" si="26"/>
        <v>0</v>
      </c>
      <c r="V45" s="263">
        <f t="shared" si="27"/>
        <v>0</v>
      </c>
      <c r="W45" s="263">
        <f t="shared" si="4"/>
        <v>0</v>
      </c>
    </row>
    <row r="46" spans="1:23" s="263" customFormat="1" ht="35.15" customHeight="1" x14ac:dyDescent="0.35">
      <c r="A46" s="241" t="s">
        <v>229</v>
      </c>
      <c r="B46" s="262"/>
      <c r="C46" s="236" t="s">
        <v>210</v>
      </c>
      <c r="D46" s="217">
        <v>19827000</v>
      </c>
      <c r="E46" s="217">
        <v>0</v>
      </c>
      <c r="F46" s="217">
        <f>D46+E46</f>
        <v>19827000</v>
      </c>
      <c r="G46" s="220">
        <f>F46/$F$70*100</f>
        <v>0.30478744016163006</v>
      </c>
      <c r="H46" s="219">
        <v>0</v>
      </c>
      <c r="I46" s="220">
        <f t="shared" ref="I46:I47" si="28">H46/F46*100</f>
        <v>0</v>
      </c>
      <c r="J46" s="221">
        <f t="shared" ref="J46:J47" si="29">I46</f>
        <v>0</v>
      </c>
      <c r="K46" s="222">
        <f>J46*G46/100</f>
        <v>0</v>
      </c>
      <c r="L46" s="223">
        <f t="shared" ref="L46:L47" si="30">F46-H46</f>
        <v>19827000</v>
      </c>
      <c r="M46" s="244"/>
      <c r="U46" s="263">
        <f t="shared" si="26"/>
        <v>0</v>
      </c>
      <c r="V46" s="263">
        <f t="shared" si="27"/>
        <v>0</v>
      </c>
      <c r="W46" s="263">
        <f t="shared" si="4"/>
        <v>0</v>
      </c>
    </row>
    <row r="47" spans="1:23" s="263" customFormat="1" ht="35.15" customHeight="1" x14ac:dyDescent="0.35">
      <c r="A47" s="241" t="s">
        <v>230</v>
      </c>
      <c r="B47" s="262"/>
      <c r="C47" s="236" t="s">
        <v>211</v>
      </c>
      <c r="D47" s="217">
        <v>174595500</v>
      </c>
      <c r="E47" s="217">
        <v>0</v>
      </c>
      <c r="F47" s="217">
        <f>D47+E47</f>
        <v>174595500</v>
      </c>
      <c r="G47" s="220">
        <f>F47/$F$70*100</f>
        <v>2.6839418726352893</v>
      </c>
      <c r="H47" s="219">
        <v>13501000</v>
      </c>
      <c r="I47" s="220">
        <f t="shared" si="28"/>
        <v>7.7327307977582471</v>
      </c>
      <c r="J47" s="221">
        <f t="shared" si="29"/>
        <v>7.7327307977582471</v>
      </c>
      <c r="K47" s="222">
        <f>J47*G47/100</f>
        <v>0.20754199977919843</v>
      </c>
      <c r="L47" s="223">
        <f t="shared" si="30"/>
        <v>161094500</v>
      </c>
      <c r="M47" s="244"/>
      <c r="P47" s="263">
        <f>3465000+500000</f>
        <v>3965000</v>
      </c>
      <c r="R47" s="263">
        <f>4380000</f>
        <v>4380000</v>
      </c>
      <c r="S47" s="263">
        <v>5156000</v>
      </c>
      <c r="U47" s="263">
        <f t="shared" si="26"/>
        <v>5156000</v>
      </c>
      <c r="V47" s="263">
        <f t="shared" si="27"/>
        <v>8345000</v>
      </c>
      <c r="W47" s="263">
        <f t="shared" si="4"/>
        <v>13501000</v>
      </c>
    </row>
    <row r="48" spans="1:23" s="263" customFormat="1" ht="15" customHeight="1" x14ac:dyDescent="0.35">
      <c r="A48" s="241"/>
      <c r="B48" s="262"/>
      <c r="C48" s="236"/>
      <c r="D48" s="217"/>
      <c r="E48" s="217"/>
      <c r="F48" s="218"/>
      <c r="G48" s="220"/>
      <c r="H48" s="219"/>
      <c r="I48" s="220"/>
      <c r="J48" s="221"/>
      <c r="K48" s="222"/>
      <c r="L48" s="223"/>
      <c r="M48" s="244"/>
      <c r="U48" s="263">
        <f t="shared" si="26"/>
        <v>0</v>
      </c>
      <c r="V48" s="263">
        <f t="shared" si="27"/>
        <v>0</v>
      </c>
      <c r="W48" s="263">
        <f t="shared" si="4"/>
        <v>0</v>
      </c>
    </row>
    <row r="49" spans="1:23" s="263" customFormat="1" ht="35.15" customHeight="1" x14ac:dyDescent="0.35">
      <c r="A49" s="255" t="s">
        <v>267</v>
      </c>
      <c r="B49" s="256"/>
      <c r="C49" s="234" t="s">
        <v>268</v>
      </c>
      <c r="D49" s="225">
        <f>SUM(D50,D54)</f>
        <v>297460000</v>
      </c>
      <c r="E49" s="225">
        <f>SUM(E50,E54)</f>
        <v>0</v>
      </c>
      <c r="F49" s="225">
        <f>SUM(F50,F54)</f>
        <v>297460000</v>
      </c>
      <c r="G49" s="226"/>
      <c r="H49" s="225">
        <f>SUM(H50,H54)</f>
        <v>41690000</v>
      </c>
      <c r="I49" s="228"/>
      <c r="J49" s="227"/>
      <c r="K49" s="227"/>
      <c r="L49" s="226">
        <f>F49-H49</f>
        <v>255770000</v>
      </c>
      <c r="M49" s="257"/>
      <c r="U49" s="263">
        <f t="shared" si="26"/>
        <v>0</v>
      </c>
      <c r="V49" s="263">
        <f t="shared" si="27"/>
        <v>0</v>
      </c>
      <c r="W49" s="263">
        <f t="shared" si="4"/>
        <v>0</v>
      </c>
    </row>
    <row r="50" spans="1:23" s="263" customFormat="1" ht="35.15" customHeight="1" x14ac:dyDescent="0.35">
      <c r="A50" s="258" t="s">
        <v>250</v>
      </c>
      <c r="B50" s="259"/>
      <c r="C50" s="235" t="s">
        <v>212</v>
      </c>
      <c r="D50" s="229">
        <f>SUM(D51:D52)</f>
        <v>23860000</v>
      </c>
      <c r="E50" s="229">
        <f>SUM(E51:E51)</f>
        <v>0</v>
      </c>
      <c r="F50" s="229">
        <f>SUM(F51:F52)</f>
        <v>23860000</v>
      </c>
      <c r="G50" s="230"/>
      <c r="H50" s="231">
        <f>SUM(H51:H51)</f>
        <v>0</v>
      </c>
      <c r="I50" s="232"/>
      <c r="J50" s="231"/>
      <c r="K50" s="231"/>
      <c r="L50" s="230">
        <f>F50-H50</f>
        <v>23860000</v>
      </c>
      <c r="M50" s="260"/>
      <c r="U50" s="263">
        <f t="shared" si="26"/>
        <v>0</v>
      </c>
      <c r="V50" s="263">
        <f t="shared" si="27"/>
        <v>0</v>
      </c>
      <c r="W50" s="263">
        <f t="shared" si="4"/>
        <v>0</v>
      </c>
    </row>
    <row r="51" spans="1:23" s="263" customFormat="1" ht="50.15" customHeight="1" x14ac:dyDescent="0.35">
      <c r="A51" s="241" t="s">
        <v>252</v>
      </c>
      <c r="B51" s="262"/>
      <c r="C51" s="236" t="s">
        <v>286</v>
      </c>
      <c r="D51" s="217">
        <v>12660000</v>
      </c>
      <c r="E51" s="217">
        <v>0</v>
      </c>
      <c r="F51" s="217">
        <f>D51+E51</f>
        <v>12660000</v>
      </c>
      <c r="G51" s="220">
        <f>F51/$F$70*100</f>
        <v>0.19461385950704779</v>
      </c>
      <c r="H51" s="219">
        <v>0</v>
      </c>
      <c r="I51" s="220">
        <f>H51/F51*100</f>
        <v>0</v>
      </c>
      <c r="J51" s="221">
        <f t="shared" ref="J51" si="31">I51</f>
        <v>0</v>
      </c>
      <c r="K51" s="222">
        <f>J51*G51/100</f>
        <v>0</v>
      </c>
      <c r="L51" s="223">
        <f>F51-H51</f>
        <v>12660000</v>
      </c>
      <c r="M51" s="244"/>
      <c r="U51" s="263">
        <f t="shared" si="26"/>
        <v>0</v>
      </c>
      <c r="V51" s="263">
        <f t="shared" si="27"/>
        <v>0</v>
      </c>
      <c r="W51" s="263">
        <f t="shared" si="4"/>
        <v>0</v>
      </c>
    </row>
    <row r="52" spans="1:23" s="263" customFormat="1" ht="35.15" customHeight="1" x14ac:dyDescent="0.35">
      <c r="A52" s="241" t="s">
        <v>292</v>
      </c>
      <c r="B52" s="262"/>
      <c r="C52" s="236" t="s">
        <v>213</v>
      </c>
      <c r="D52" s="217">
        <v>11200000</v>
      </c>
      <c r="E52" s="217">
        <v>0</v>
      </c>
      <c r="F52" s="217">
        <f>D52</f>
        <v>11200000</v>
      </c>
      <c r="G52" s="220">
        <f>F52/$F$70*100</f>
        <v>0.1721702390583677</v>
      </c>
      <c r="H52" s="219">
        <v>0</v>
      </c>
      <c r="I52" s="220">
        <f>H52/F52*100</f>
        <v>0</v>
      </c>
      <c r="J52" s="221">
        <f t="shared" ref="J52" si="32">I52</f>
        <v>0</v>
      </c>
      <c r="K52" s="222">
        <f>J52*G52/100</f>
        <v>0</v>
      </c>
      <c r="L52" s="223">
        <f>F52-H52</f>
        <v>11200000</v>
      </c>
      <c r="M52" s="244"/>
      <c r="U52" s="263">
        <f t="shared" si="26"/>
        <v>0</v>
      </c>
      <c r="V52" s="263">
        <f t="shared" si="27"/>
        <v>0</v>
      </c>
      <c r="W52" s="263">
        <f t="shared" si="4"/>
        <v>0</v>
      </c>
    </row>
    <row r="53" spans="1:23" s="263" customFormat="1" ht="15" customHeight="1" x14ac:dyDescent="0.35">
      <c r="A53" s="241"/>
      <c r="B53" s="262"/>
      <c r="C53" s="236"/>
      <c r="D53" s="217"/>
      <c r="E53" s="217"/>
      <c r="F53" s="218"/>
      <c r="G53" s="220"/>
      <c r="H53" s="219"/>
      <c r="I53" s="220"/>
      <c r="J53" s="221"/>
      <c r="K53" s="222"/>
      <c r="L53" s="223"/>
      <c r="M53" s="244"/>
      <c r="U53" s="263">
        <f t="shared" si="26"/>
        <v>0</v>
      </c>
      <c r="V53" s="263">
        <f t="shared" si="27"/>
        <v>0</v>
      </c>
      <c r="W53" s="263">
        <f t="shared" si="4"/>
        <v>0</v>
      </c>
    </row>
    <row r="54" spans="1:23" s="263" customFormat="1" ht="35.15" customHeight="1" x14ac:dyDescent="0.35">
      <c r="A54" s="258" t="s">
        <v>251</v>
      </c>
      <c r="B54" s="259"/>
      <c r="C54" s="235" t="s">
        <v>214</v>
      </c>
      <c r="D54" s="229">
        <f>SUM(D55)</f>
        <v>273600000</v>
      </c>
      <c r="E54" s="229">
        <f>SUM(E55)</f>
        <v>0</v>
      </c>
      <c r="F54" s="229">
        <f>F55</f>
        <v>273600000</v>
      </c>
      <c r="G54" s="230"/>
      <c r="H54" s="231">
        <f>H55</f>
        <v>41690000</v>
      </c>
      <c r="I54" s="232"/>
      <c r="J54" s="231"/>
      <c r="K54" s="231"/>
      <c r="L54" s="230">
        <f>F54-H54</f>
        <v>231910000</v>
      </c>
      <c r="M54" s="260"/>
      <c r="U54" s="263">
        <f t="shared" si="26"/>
        <v>0</v>
      </c>
      <c r="V54" s="263">
        <f t="shared" si="27"/>
        <v>0</v>
      </c>
      <c r="W54" s="263">
        <f t="shared" si="4"/>
        <v>0</v>
      </c>
    </row>
    <row r="55" spans="1:23" s="263" customFormat="1" ht="50.15" customHeight="1" x14ac:dyDescent="0.35">
      <c r="A55" s="241" t="s">
        <v>249</v>
      </c>
      <c r="B55" s="262"/>
      <c r="C55" s="236" t="s">
        <v>333</v>
      </c>
      <c r="D55" s="217">
        <v>273600000</v>
      </c>
      <c r="E55" s="217">
        <v>0</v>
      </c>
      <c r="F55" s="217">
        <f>D55+E55</f>
        <v>273600000</v>
      </c>
      <c r="G55" s="220">
        <f>F55/$F$70*100</f>
        <v>4.2058729827115542</v>
      </c>
      <c r="H55" s="219">
        <v>41690000</v>
      </c>
      <c r="I55" s="220">
        <f>H55/F55*100</f>
        <v>15.237573099415206</v>
      </c>
      <c r="J55" s="221">
        <f t="shared" ref="J55" si="33">I55</f>
        <v>15.237573099415206</v>
      </c>
      <c r="K55" s="222">
        <f>J55*G55/100</f>
        <v>0.64087297020922773</v>
      </c>
      <c r="L55" s="223">
        <f>F55-H55</f>
        <v>231910000</v>
      </c>
      <c r="M55" s="244"/>
      <c r="P55" s="263">
        <v>18600000</v>
      </c>
      <c r="R55" s="263">
        <f>18600000+4490000</f>
        <v>23090000</v>
      </c>
      <c r="U55" s="263">
        <f t="shared" si="26"/>
        <v>0</v>
      </c>
      <c r="V55" s="263">
        <f t="shared" si="27"/>
        <v>41690000</v>
      </c>
      <c r="W55" s="263">
        <f t="shared" si="4"/>
        <v>41690000</v>
      </c>
    </row>
    <row r="56" spans="1:23" s="263" customFormat="1" ht="15" customHeight="1" x14ac:dyDescent="0.35">
      <c r="A56" s="241"/>
      <c r="B56" s="262"/>
      <c r="C56" s="236"/>
      <c r="D56" s="217"/>
      <c r="E56" s="217"/>
      <c r="F56" s="218"/>
      <c r="G56" s="220"/>
      <c r="H56" s="219"/>
      <c r="I56" s="220"/>
      <c r="J56" s="221"/>
      <c r="K56" s="222"/>
      <c r="L56" s="223"/>
      <c r="M56" s="244"/>
      <c r="U56" s="263">
        <f t="shared" si="26"/>
        <v>0</v>
      </c>
      <c r="V56" s="263">
        <f t="shared" si="27"/>
        <v>0</v>
      </c>
      <c r="W56" s="263">
        <f t="shared" si="4"/>
        <v>0</v>
      </c>
    </row>
    <row r="57" spans="1:23" s="263" customFormat="1" ht="35.15" customHeight="1" x14ac:dyDescent="0.35">
      <c r="A57" s="255" t="s">
        <v>269</v>
      </c>
      <c r="B57" s="256"/>
      <c r="C57" s="234" t="s">
        <v>270</v>
      </c>
      <c r="D57" s="225">
        <f>SUM(D58:D58)</f>
        <v>53410000</v>
      </c>
      <c r="E57" s="225">
        <f>SUM(E58:E58)</f>
        <v>0</v>
      </c>
      <c r="F57" s="225">
        <f>F58</f>
        <v>53410000</v>
      </c>
      <c r="G57" s="226"/>
      <c r="H57" s="227">
        <f>H58</f>
        <v>0</v>
      </c>
      <c r="I57" s="228"/>
      <c r="J57" s="227"/>
      <c r="K57" s="227"/>
      <c r="L57" s="226">
        <f>F57-H57</f>
        <v>53410000</v>
      </c>
      <c r="M57" s="257"/>
      <c r="U57" s="263">
        <f t="shared" si="26"/>
        <v>0</v>
      </c>
      <c r="V57" s="263">
        <f t="shared" si="27"/>
        <v>0</v>
      </c>
      <c r="W57" s="263">
        <f t="shared" si="4"/>
        <v>0</v>
      </c>
    </row>
    <row r="58" spans="1:23" s="263" customFormat="1" ht="35.15" customHeight="1" x14ac:dyDescent="0.35">
      <c r="A58" s="258" t="s">
        <v>254</v>
      </c>
      <c r="B58" s="259"/>
      <c r="C58" s="235" t="s">
        <v>253</v>
      </c>
      <c r="D58" s="229">
        <f>SUM(D59:D61)</f>
        <v>53410000</v>
      </c>
      <c r="E58" s="229">
        <f>SUM(E59:E61)</f>
        <v>0</v>
      </c>
      <c r="F58" s="229">
        <f>SUM(F59:F61)</f>
        <v>53410000</v>
      </c>
      <c r="G58" s="230"/>
      <c r="H58" s="231">
        <f>SUM(H59:H61)</f>
        <v>0</v>
      </c>
      <c r="I58" s="232"/>
      <c r="J58" s="231"/>
      <c r="K58" s="231"/>
      <c r="L58" s="230">
        <f>F58-H58</f>
        <v>53410000</v>
      </c>
      <c r="M58" s="260"/>
      <c r="U58" s="263">
        <f t="shared" si="26"/>
        <v>0</v>
      </c>
      <c r="V58" s="263">
        <f t="shared" si="27"/>
        <v>0</v>
      </c>
      <c r="W58" s="263">
        <f t="shared" si="4"/>
        <v>0</v>
      </c>
    </row>
    <row r="59" spans="1:23" s="263" customFormat="1" ht="80.150000000000006" customHeight="1" x14ac:dyDescent="0.35">
      <c r="A59" s="241" t="s">
        <v>255</v>
      </c>
      <c r="B59" s="262"/>
      <c r="C59" s="236" t="s">
        <v>216</v>
      </c>
      <c r="D59" s="217">
        <v>22610000</v>
      </c>
      <c r="E59" s="217">
        <v>0</v>
      </c>
      <c r="F59" s="217">
        <f>D59+E59</f>
        <v>22610000</v>
      </c>
      <c r="G59" s="220">
        <f>F59/$F$70*100</f>
        <v>0.34756867009907977</v>
      </c>
      <c r="H59" s="219">
        <v>0</v>
      </c>
      <c r="I59" s="220">
        <f t="shared" ref="I59:I61" si="34">H59/F59*100</f>
        <v>0</v>
      </c>
      <c r="J59" s="221">
        <f t="shared" ref="J59:J61" si="35">I59</f>
        <v>0</v>
      </c>
      <c r="K59" s="222">
        <f>J59*G59/100</f>
        <v>0</v>
      </c>
      <c r="L59" s="223">
        <f t="shared" ref="L59:L61" si="36">F59-H59</f>
        <v>22610000</v>
      </c>
      <c r="M59" s="244"/>
      <c r="U59" s="263">
        <f t="shared" si="26"/>
        <v>0</v>
      </c>
      <c r="V59" s="263">
        <f t="shared" si="27"/>
        <v>0</v>
      </c>
      <c r="W59" s="263">
        <f t="shared" si="4"/>
        <v>0</v>
      </c>
    </row>
    <row r="60" spans="1:23" s="263" customFormat="1" ht="50.15" customHeight="1" x14ac:dyDescent="0.35">
      <c r="A60" s="241" t="s">
        <v>256</v>
      </c>
      <c r="B60" s="262"/>
      <c r="C60" s="236" t="s">
        <v>217</v>
      </c>
      <c r="D60" s="217">
        <v>16740000</v>
      </c>
      <c r="E60" s="217">
        <v>0</v>
      </c>
      <c r="F60" s="217">
        <f t="shared" ref="F60:F61" si="37">D60+E60</f>
        <v>16740000</v>
      </c>
      <c r="G60" s="220">
        <f t="shared" ref="G60:G61" si="38">F60/$F$70*100</f>
        <v>0.25733301802116748</v>
      </c>
      <c r="H60" s="219">
        <v>0</v>
      </c>
      <c r="I60" s="220">
        <f t="shared" si="34"/>
        <v>0</v>
      </c>
      <c r="J60" s="221">
        <f t="shared" si="35"/>
        <v>0</v>
      </c>
      <c r="K60" s="222">
        <f>J60*G60/100</f>
        <v>0</v>
      </c>
      <c r="L60" s="223">
        <f t="shared" si="36"/>
        <v>16740000</v>
      </c>
      <c r="M60" s="244"/>
      <c r="U60" s="263">
        <f t="shared" si="26"/>
        <v>0</v>
      </c>
      <c r="V60" s="263">
        <f t="shared" si="27"/>
        <v>0</v>
      </c>
      <c r="W60" s="263">
        <f t="shared" si="4"/>
        <v>0</v>
      </c>
    </row>
    <row r="61" spans="1:23" s="263" customFormat="1" ht="50.15" customHeight="1" x14ac:dyDescent="0.35">
      <c r="A61" s="241" t="s">
        <v>257</v>
      </c>
      <c r="B61" s="262"/>
      <c r="C61" s="236" t="s">
        <v>218</v>
      </c>
      <c r="D61" s="217">
        <v>14060000</v>
      </c>
      <c r="E61" s="217">
        <v>0</v>
      </c>
      <c r="F61" s="217">
        <f t="shared" si="37"/>
        <v>14060000</v>
      </c>
      <c r="G61" s="220">
        <f t="shared" si="38"/>
        <v>0.21613513938934376</v>
      </c>
      <c r="H61" s="219">
        <v>0</v>
      </c>
      <c r="I61" s="220">
        <f t="shared" si="34"/>
        <v>0</v>
      </c>
      <c r="J61" s="221">
        <f t="shared" si="35"/>
        <v>0</v>
      </c>
      <c r="K61" s="222">
        <f>J61*G61/100</f>
        <v>0</v>
      </c>
      <c r="L61" s="223">
        <f t="shared" si="36"/>
        <v>14060000</v>
      </c>
      <c r="M61" s="244"/>
      <c r="U61" s="263">
        <f t="shared" si="26"/>
        <v>0</v>
      </c>
      <c r="V61" s="263">
        <f t="shared" si="27"/>
        <v>0</v>
      </c>
      <c r="W61" s="263">
        <f t="shared" si="4"/>
        <v>0</v>
      </c>
    </row>
    <row r="62" spans="1:23" s="263" customFormat="1" ht="15" customHeight="1" x14ac:dyDescent="0.35">
      <c r="A62" s="241"/>
      <c r="B62" s="262"/>
      <c r="C62" s="236"/>
      <c r="D62" s="217"/>
      <c r="E62" s="217"/>
      <c r="F62" s="218"/>
      <c r="G62" s="220"/>
      <c r="H62" s="219"/>
      <c r="I62" s="220"/>
      <c r="J62" s="221"/>
      <c r="K62" s="222"/>
      <c r="L62" s="223"/>
      <c r="M62" s="244"/>
      <c r="U62" s="263">
        <f t="shared" si="26"/>
        <v>0</v>
      </c>
      <c r="V62" s="263">
        <f t="shared" si="27"/>
        <v>0</v>
      </c>
      <c r="W62" s="263">
        <f t="shared" si="4"/>
        <v>0</v>
      </c>
    </row>
    <row r="63" spans="1:23" s="263" customFormat="1" ht="35.15" customHeight="1" x14ac:dyDescent="0.35">
      <c r="A63" s="255" t="s">
        <v>271</v>
      </c>
      <c r="B63" s="256"/>
      <c r="C63" s="234" t="s">
        <v>272</v>
      </c>
      <c r="D63" s="225">
        <f>SUM(D64:D64)</f>
        <v>203796400</v>
      </c>
      <c r="E63" s="225">
        <f>SUM(E64:E64)</f>
        <v>0</v>
      </c>
      <c r="F63" s="225">
        <f>F64</f>
        <v>203796400</v>
      </c>
      <c r="G63" s="226"/>
      <c r="H63" s="227">
        <f>H64</f>
        <v>19000000</v>
      </c>
      <c r="I63" s="228"/>
      <c r="J63" s="227"/>
      <c r="K63" s="227"/>
      <c r="L63" s="226">
        <f>F63-H63</f>
        <v>184796400</v>
      </c>
      <c r="M63" s="257"/>
      <c r="U63" s="263">
        <f t="shared" si="26"/>
        <v>0</v>
      </c>
      <c r="V63" s="263">
        <f t="shared" si="27"/>
        <v>0</v>
      </c>
      <c r="W63" s="263">
        <f t="shared" si="4"/>
        <v>0</v>
      </c>
    </row>
    <row r="64" spans="1:23" s="263" customFormat="1" ht="50.15" customHeight="1" x14ac:dyDescent="0.35">
      <c r="A64" s="258" t="s">
        <v>223</v>
      </c>
      <c r="B64" s="259"/>
      <c r="C64" s="235" t="s">
        <v>219</v>
      </c>
      <c r="D64" s="229">
        <f>SUM(D65:D69)</f>
        <v>203796400</v>
      </c>
      <c r="E64" s="229">
        <f>SUM(E65:E69)</f>
        <v>0</v>
      </c>
      <c r="F64" s="229">
        <f>SUM(F65:F69)</f>
        <v>203796400</v>
      </c>
      <c r="G64" s="230"/>
      <c r="H64" s="231">
        <f>SUM(H65:H69)</f>
        <v>19000000</v>
      </c>
      <c r="I64" s="232"/>
      <c r="J64" s="231"/>
      <c r="K64" s="231"/>
      <c r="L64" s="230">
        <f>F64-H64</f>
        <v>184796400</v>
      </c>
      <c r="M64" s="260"/>
      <c r="U64" s="263">
        <f t="shared" si="26"/>
        <v>0</v>
      </c>
      <c r="V64" s="263">
        <f t="shared" si="27"/>
        <v>0</v>
      </c>
      <c r="W64" s="263">
        <f t="shared" si="4"/>
        <v>0</v>
      </c>
    </row>
    <row r="65" spans="1:23" s="263" customFormat="1" ht="35.15" customHeight="1" x14ac:dyDescent="0.35">
      <c r="A65" s="241" t="s">
        <v>224</v>
      </c>
      <c r="B65" s="262"/>
      <c r="C65" s="236" t="s">
        <v>312</v>
      </c>
      <c r="D65" s="217">
        <v>6866400</v>
      </c>
      <c r="E65" s="217">
        <v>0</v>
      </c>
      <c r="F65" s="217">
        <f>D65+E65</f>
        <v>6866400</v>
      </c>
      <c r="G65" s="220">
        <f>F65/$F$70*100</f>
        <v>0.10555265441699786</v>
      </c>
      <c r="H65" s="219">
        <v>0</v>
      </c>
      <c r="I65" s="220">
        <f t="shared" ref="I65:I69" si="39">H65/F65*100</f>
        <v>0</v>
      </c>
      <c r="J65" s="221">
        <f t="shared" ref="J65:J69" si="40">I65</f>
        <v>0</v>
      </c>
      <c r="K65" s="222">
        <f>J65*G65/100</f>
        <v>0</v>
      </c>
      <c r="L65" s="223">
        <f t="shared" ref="L65:L68" si="41">F65-H65</f>
        <v>6866400</v>
      </c>
      <c r="M65" s="244"/>
      <c r="U65" s="263">
        <f t="shared" si="26"/>
        <v>0</v>
      </c>
      <c r="V65" s="263">
        <f t="shared" si="27"/>
        <v>0</v>
      </c>
      <c r="W65" s="263">
        <f t="shared" si="4"/>
        <v>0</v>
      </c>
    </row>
    <row r="66" spans="1:23" s="263" customFormat="1" ht="16" customHeight="1" x14ac:dyDescent="0.35">
      <c r="A66" s="241" t="s">
        <v>225</v>
      </c>
      <c r="B66" s="262"/>
      <c r="C66" s="236" t="s">
        <v>220</v>
      </c>
      <c r="D66" s="217">
        <v>17650000</v>
      </c>
      <c r="E66" s="217">
        <v>0</v>
      </c>
      <c r="F66" s="217">
        <f>D66+E66</f>
        <v>17650000</v>
      </c>
      <c r="G66" s="220">
        <f t="shared" ref="G66:G69" si="42">F66/$F$70*100</f>
        <v>0.2713218499446598</v>
      </c>
      <c r="H66" s="219">
        <v>0</v>
      </c>
      <c r="I66" s="220">
        <f t="shared" si="39"/>
        <v>0</v>
      </c>
      <c r="J66" s="221">
        <f t="shared" si="40"/>
        <v>0</v>
      </c>
      <c r="K66" s="222">
        <f>J66*G66/100</f>
        <v>0</v>
      </c>
      <c r="L66" s="223">
        <f t="shared" si="41"/>
        <v>17650000</v>
      </c>
      <c r="M66" s="244"/>
      <c r="U66" s="263">
        <f t="shared" si="26"/>
        <v>0</v>
      </c>
      <c r="V66" s="263">
        <f t="shared" si="27"/>
        <v>0</v>
      </c>
      <c r="W66" s="263">
        <f t="shared" si="4"/>
        <v>0</v>
      </c>
    </row>
    <row r="67" spans="1:23" s="263" customFormat="1" ht="35.15" customHeight="1" x14ac:dyDescent="0.35">
      <c r="A67" s="241" t="s">
        <v>226</v>
      </c>
      <c r="B67" s="262"/>
      <c r="C67" s="236" t="s">
        <v>221</v>
      </c>
      <c r="D67" s="217">
        <v>157520000</v>
      </c>
      <c r="E67" s="217">
        <v>0</v>
      </c>
      <c r="F67" s="217">
        <f t="shared" ref="F67:F69" si="43">D67+E67</f>
        <v>157520000</v>
      </c>
      <c r="G67" s="220">
        <f t="shared" si="42"/>
        <v>2.4214514336137571</v>
      </c>
      <c r="H67" s="219">
        <v>19000000</v>
      </c>
      <c r="I67" s="220">
        <f t="shared" si="39"/>
        <v>12.061960385982733</v>
      </c>
      <c r="J67" s="221">
        <f>I67</f>
        <v>12.061960385982733</v>
      </c>
      <c r="K67" s="222">
        <f>J67*G67/100</f>
        <v>0.29207451268830237</v>
      </c>
      <c r="L67" s="223">
        <f t="shared" si="41"/>
        <v>138520000</v>
      </c>
      <c r="M67" s="244"/>
      <c r="P67" s="263">
        <v>9500000</v>
      </c>
      <c r="R67" s="263">
        <v>9500000</v>
      </c>
      <c r="U67" s="263">
        <f t="shared" si="26"/>
        <v>0</v>
      </c>
      <c r="V67" s="263">
        <f t="shared" si="27"/>
        <v>19000000</v>
      </c>
      <c r="W67" s="263">
        <f t="shared" si="4"/>
        <v>19000000</v>
      </c>
    </row>
    <row r="68" spans="1:23" s="263" customFormat="1" ht="35.15" customHeight="1" x14ac:dyDescent="0.35">
      <c r="A68" s="241" t="s">
        <v>314</v>
      </c>
      <c r="B68" s="262"/>
      <c r="C68" s="236" t="s">
        <v>313</v>
      </c>
      <c r="D68" s="217">
        <v>0</v>
      </c>
      <c r="E68" s="217">
        <v>0</v>
      </c>
      <c r="F68" s="217">
        <f t="shared" si="43"/>
        <v>0</v>
      </c>
      <c r="G68" s="220">
        <f t="shared" si="42"/>
        <v>0</v>
      </c>
      <c r="H68" s="219">
        <v>0</v>
      </c>
      <c r="I68" s="220">
        <v>0</v>
      </c>
      <c r="J68" s="221"/>
      <c r="K68" s="222"/>
      <c r="L68" s="223">
        <f t="shared" si="41"/>
        <v>0</v>
      </c>
      <c r="M68" s="244"/>
      <c r="U68" s="263">
        <f t="shared" si="26"/>
        <v>0</v>
      </c>
      <c r="V68" s="263">
        <f t="shared" si="27"/>
        <v>0</v>
      </c>
      <c r="W68" s="263">
        <f t="shared" si="4"/>
        <v>0</v>
      </c>
    </row>
    <row r="69" spans="1:23" s="263" customFormat="1" ht="35.15" customHeight="1" x14ac:dyDescent="0.35">
      <c r="A69" s="241" t="s">
        <v>227</v>
      </c>
      <c r="B69" s="262"/>
      <c r="C69" s="236" t="s">
        <v>222</v>
      </c>
      <c r="D69" s="217">
        <v>21760000</v>
      </c>
      <c r="E69" s="217">
        <v>0</v>
      </c>
      <c r="F69" s="217">
        <f t="shared" si="43"/>
        <v>21760000</v>
      </c>
      <c r="G69" s="220">
        <f t="shared" si="42"/>
        <v>0.33450217874197152</v>
      </c>
      <c r="H69" s="219">
        <v>0</v>
      </c>
      <c r="I69" s="220">
        <f t="shared" si="39"/>
        <v>0</v>
      </c>
      <c r="J69" s="221">
        <f t="shared" si="40"/>
        <v>0</v>
      </c>
      <c r="K69" s="222">
        <f>J69*G69/100</f>
        <v>0</v>
      </c>
      <c r="L69" s="223">
        <f>F69-H69</f>
        <v>21760000</v>
      </c>
      <c r="M69" s="244"/>
      <c r="U69" s="263">
        <f t="shared" si="26"/>
        <v>0</v>
      </c>
      <c r="V69" s="263">
        <f t="shared" si="27"/>
        <v>0</v>
      </c>
      <c r="W69" s="263">
        <f t="shared" si="4"/>
        <v>0</v>
      </c>
    </row>
    <row r="70" spans="1:23" s="263" customFormat="1" ht="20.149999999999999" customHeight="1" x14ac:dyDescent="0.35">
      <c r="A70" s="441" t="s">
        <v>145</v>
      </c>
      <c r="B70" s="442"/>
      <c r="C70" s="442"/>
      <c r="D70" s="237">
        <f>D10+D37+D44+D49+D57+D63</f>
        <v>6505189318</v>
      </c>
      <c r="E70" s="237">
        <f>E10+E37+E44+E49+E57+E63</f>
        <v>0</v>
      </c>
      <c r="F70" s="237">
        <f>F10+F37+F44+F49+F57+F63</f>
        <v>6505189318</v>
      </c>
      <c r="G70" s="238">
        <f>SUM(G12:G69)</f>
        <v>100</v>
      </c>
      <c r="H70" s="237">
        <f>H10+H37+H44+H49+H57+H63</f>
        <v>703974593</v>
      </c>
      <c r="I70" s="269">
        <f>H70/F70*100</f>
        <v>10.821738747127421</v>
      </c>
      <c r="J70" s="238">
        <f>I70</f>
        <v>10.821738747127421</v>
      </c>
      <c r="K70" s="238">
        <f>J70*G70/100</f>
        <v>10.821738747127421</v>
      </c>
      <c r="L70" s="237">
        <f>L10+L37+L44+L49+L57+L63</f>
        <v>5801214725</v>
      </c>
      <c r="M70" s="270"/>
      <c r="P70" s="263">
        <f>SUM(P12:P69)</f>
        <v>97498944</v>
      </c>
      <c r="Q70" s="263">
        <f>SUM(Q12:Q69)</f>
        <v>151020147</v>
      </c>
      <c r="R70" s="263">
        <f>SUM(R12:R69)</f>
        <v>99644575</v>
      </c>
      <c r="S70" s="263">
        <f>SUM(S12:S69)</f>
        <v>207955781</v>
      </c>
      <c r="U70" s="263">
        <f>SUM(U12:U69)</f>
        <v>506831074</v>
      </c>
      <c r="V70" s="263">
        <f>SUM(V12:V69)</f>
        <v>197143519</v>
      </c>
      <c r="W70" s="263">
        <f>SUM(W12:W69)</f>
        <v>703974593</v>
      </c>
    </row>
    <row r="71" spans="1:23" s="263" customFormat="1" ht="15.5" x14ac:dyDescent="0.35">
      <c r="A71" s="271"/>
      <c r="B71" s="272"/>
      <c r="C71" s="272"/>
      <c r="D71" s="273"/>
      <c r="E71" s="274"/>
      <c r="F71" s="274"/>
      <c r="G71" s="275"/>
      <c r="H71" s="274"/>
      <c r="I71" s="276"/>
      <c r="J71" s="276"/>
      <c r="K71" s="276"/>
      <c r="L71" s="310"/>
      <c r="M71" s="277"/>
      <c r="S71" s="319"/>
      <c r="T71" s="319"/>
    </row>
    <row r="72" spans="1:23" s="263" customFormat="1" ht="15.5" x14ac:dyDescent="0.35">
      <c r="A72" s="271"/>
      <c r="B72" s="272"/>
      <c r="C72" s="272"/>
      <c r="D72" s="274"/>
      <c r="E72" s="274"/>
      <c r="F72" s="278"/>
      <c r="G72" s="275"/>
      <c r="H72" s="278"/>
      <c r="I72" s="443" t="s">
        <v>340</v>
      </c>
      <c r="J72" s="443"/>
      <c r="K72" s="443"/>
      <c r="L72" s="276"/>
      <c r="M72" s="277"/>
      <c r="S72" s="319"/>
      <c r="T72" s="319"/>
    </row>
    <row r="73" spans="1:23" s="263" customFormat="1" ht="15.5" x14ac:dyDescent="0.35">
      <c r="A73" s="271"/>
      <c r="B73" s="272"/>
      <c r="C73" s="272"/>
      <c r="D73" s="279"/>
      <c r="E73" s="274"/>
      <c r="F73" s="279"/>
      <c r="G73" s="280"/>
      <c r="H73" s="278"/>
      <c r="I73" s="443" t="s">
        <v>177</v>
      </c>
      <c r="J73" s="443"/>
      <c r="K73" s="443"/>
      <c r="L73" s="276"/>
      <c r="M73" s="277"/>
      <c r="S73" s="319"/>
      <c r="T73" s="319"/>
    </row>
    <row r="74" spans="1:23" s="263" customFormat="1" ht="15.5" x14ac:dyDescent="0.35">
      <c r="A74" s="271"/>
      <c r="B74" s="272"/>
      <c r="C74" s="272"/>
      <c r="D74" s="274"/>
      <c r="E74" s="274"/>
      <c r="F74" s="279"/>
      <c r="G74" s="280"/>
      <c r="H74" s="289"/>
      <c r="I74" s="443"/>
      <c r="J74" s="443"/>
      <c r="K74" s="443"/>
      <c r="L74" s="276"/>
      <c r="M74" s="277"/>
    </row>
    <row r="75" spans="1:23" s="263" customFormat="1" ht="15.5" x14ac:dyDescent="0.35">
      <c r="A75" s="271"/>
      <c r="B75" s="272"/>
      <c r="C75" s="272"/>
      <c r="D75" s="274"/>
      <c r="E75" s="274"/>
      <c r="F75" s="279"/>
      <c r="G75" s="280"/>
      <c r="H75" s="289"/>
      <c r="I75" s="281"/>
      <c r="J75" s="281"/>
      <c r="K75" s="281"/>
      <c r="L75" s="276"/>
      <c r="M75" s="277"/>
    </row>
    <row r="76" spans="1:23" s="263" customFormat="1" ht="15.5" x14ac:dyDescent="0.35">
      <c r="A76" s="271"/>
      <c r="B76" s="272"/>
      <c r="C76" s="272"/>
      <c r="D76" s="274"/>
      <c r="E76" s="274"/>
      <c r="F76" s="274"/>
      <c r="G76" s="280"/>
      <c r="H76" s="289"/>
      <c r="I76" s="282"/>
      <c r="J76" s="281"/>
      <c r="K76" s="282"/>
      <c r="L76" s="276"/>
      <c r="M76" s="277"/>
    </row>
    <row r="77" spans="1:23" s="263" customFormat="1" ht="18.5" x14ac:dyDescent="0.35">
      <c r="A77" s="271"/>
      <c r="B77" s="272"/>
      <c r="C77" s="278"/>
      <c r="D77" s="274"/>
      <c r="E77" s="274"/>
      <c r="F77" s="274"/>
      <c r="G77" s="280"/>
      <c r="H77" s="278"/>
      <c r="I77" s="444" t="s">
        <v>329</v>
      </c>
      <c r="J77" s="444"/>
      <c r="K77" s="444"/>
      <c r="L77" s="276"/>
      <c r="M77" s="277"/>
    </row>
    <row r="78" spans="1:23" s="263" customFormat="1" ht="15.5" x14ac:dyDescent="0.35">
      <c r="A78" s="283"/>
      <c r="B78" s="284"/>
      <c r="C78" s="284"/>
      <c r="D78" s="285"/>
      <c r="E78" s="285"/>
      <c r="F78" s="285"/>
      <c r="G78" s="286"/>
      <c r="H78" s="287"/>
      <c r="I78" s="440" t="s">
        <v>330</v>
      </c>
      <c r="J78" s="440"/>
      <c r="K78" s="440"/>
      <c r="L78" s="311"/>
      <c r="M78" s="288"/>
    </row>
    <row r="79" spans="1:23" ht="15.5" x14ac:dyDescent="0.35">
      <c r="A79" s="164"/>
      <c r="B79" s="164"/>
      <c r="C79" s="164"/>
      <c r="D79" s="165"/>
      <c r="E79" s="165"/>
      <c r="F79" s="165"/>
      <c r="G79" s="176"/>
      <c r="H79" s="165"/>
      <c r="I79" s="165"/>
      <c r="J79" s="165"/>
      <c r="K79" s="165"/>
      <c r="L79" s="165"/>
      <c r="M79" s="165"/>
    </row>
  </sheetData>
  <protectedRanges>
    <protectedRange sqref="H10:H15 H18:H20 H22:H29 H32:H48 H50:H69" name="Range1"/>
    <protectedRange sqref="H21" name="Range1_2"/>
    <protectedRange sqref="H16" name="Range1_3_1"/>
  </protectedRanges>
  <mergeCells count="22">
    <mergeCell ref="R8:S8"/>
    <mergeCell ref="P8:Q8"/>
    <mergeCell ref="I78:K78"/>
    <mergeCell ref="L6:L8"/>
    <mergeCell ref="A70:C70"/>
    <mergeCell ref="I72:K72"/>
    <mergeCell ref="I73:K73"/>
    <mergeCell ref="I74:K74"/>
    <mergeCell ref="I77:K77"/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</mergeCells>
  <pageMargins left="0.43307086614173229" right="0.55118110236220474" top="0.59055118110236227" bottom="0.31496062992125984" header="0.31496062992125984" footer="0.23622047244094491"/>
  <pageSetup paperSize="5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view="pageBreakPreview" topLeftCell="C28" zoomScale="90" zoomScaleNormal="80" zoomScaleSheetLayoutView="90" workbookViewId="0">
      <selection activeCell="B6" sqref="B6:C9"/>
    </sheetView>
  </sheetViews>
  <sheetFormatPr defaultColWidth="9.1796875" defaultRowHeight="14.5" x14ac:dyDescent="0.35"/>
  <cols>
    <col min="1" max="1" width="18.7265625" style="88" customWidth="1"/>
    <col min="2" max="2" width="1.26953125" style="88" customWidth="1"/>
    <col min="3" max="3" width="50.26953125" style="88" customWidth="1"/>
    <col min="4" max="6" width="15.7265625" style="88" customWidth="1"/>
    <col min="7" max="7" width="9.26953125" style="88" customWidth="1"/>
    <col min="8" max="8" width="18.453125" style="88" customWidth="1"/>
    <col min="9" max="10" width="8.7265625" style="88" customWidth="1"/>
    <col min="11" max="11" width="15.7265625" style="88" customWidth="1"/>
    <col min="12" max="12" width="16.81640625" style="88" customWidth="1"/>
    <col min="13" max="13" width="9.54296875" style="88" customWidth="1"/>
    <col min="14" max="14" width="2.54296875" style="88" customWidth="1"/>
    <col min="15" max="15" width="11.1796875" style="88" bestFit="1" customWidth="1"/>
    <col min="16" max="16384" width="9.1796875" style="88"/>
  </cols>
  <sheetData>
    <row r="1" spans="1:13" s="245" customFormat="1" ht="27" customHeight="1" x14ac:dyDescent="0.35">
      <c r="A1" s="410" t="s">
        <v>198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2"/>
    </row>
    <row r="2" spans="1:13" s="263" customFormat="1" ht="28.5" customHeight="1" x14ac:dyDescent="0.35">
      <c r="A2" s="413" t="s">
        <v>319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</row>
    <row r="3" spans="1:13" s="263" customFormat="1" ht="15" customHeight="1" x14ac:dyDescent="0.35">
      <c r="A3" s="246"/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13" s="263" customFormat="1" ht="15" customHeight="1" x14ac:dyDescent="0.35">
      <c r="A4" s="250" t="s">
        <v>273</v>
      </c>
      <c r="B4" s="251" t="s">
        <v>1</v>
      </c>
      <c r="C4" s="252" t="s">
        <v>309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</row>
    <row r="5" spans="1:13" s="263" customFormat="1" ht="15" customHeight="1" x14ac:dyDescent="0.35">
      <c r="A5" s="250" t="s">
        <v>3</v>
      </c>
      <c r="B5" s="251" t="s">
        <v>1</v>
      </c>
      <c r="C5" s="252" t="s">
        <v>339</v>
      </c>
      <c r="D5" s="416"/>
      <c r="E5" s="416"/>
      <c r="F5" s="253"/>
      <c r="G5" s="253"/>
      <c r="H5" s="253"/>
      <c r="I5" s="251"/>
      <c r="J5" s="251"/>
      <c r="K5" s="251"/>
      <c r="L5" s="251"/>
      <c r="M5" s="254"/>
    </row>
    <row r="6" spans="1:13" s="263" customFormat="1" ht="16" customHeight="1" x14ac:dyDescent="0.35">
      <c r="A6" s="417" t="s">
        <v>4</v>
      </c>
      <c r="B6" s="420" t="s">
        <v>5</v>
      </c>
      <c r="C6" s="421"/>
      <c r="D6" s="426" t="s">
        <v>189</v>
      </c>
      <c r="E6" s="428" t="s">
        <v>190</v>
      </c>
      <c r="F6" s="428" t="s">
        <v>191</v>
      </c>
      <c r="G6" s="428" t="s">
        <v>9</v>
      </c>
      <c r="H6" s="431" t="s">
        <v>204</v>
      </c>
      <c r="I6" s="431"/>
      <c r="J6" s="431"/>
      <c r="K6" s="431"/>
      <c r="L6" s="428" t="s">
        <v>192</v>
      </c>
      <c r="M6" s="417" t="s">
        <v>12</v>
      </c>
    </row>
    <row r="7" spans="1:13" s="263" customFormat="1" ht="16" customHeight="1" x14ac:dyDescent="0.35">
      <c r="A7" s="418"/>
      <c r="B7" s="422"/>
      <c r="C7" s="423"/>
      <c r="D7" s="427"/>
      <c r="E7" s="429"/>
      <c r="F7" s="429"/>
      <c r="G7" s="429"/>
      <c r="H7" s="432" t="s">
        <v>13</v>
      </c>
      <c r="I7" s="433"/>
      <c r="J7" s="436" t="s">
        <v>14</v>
      </c>
      <c r="K7" s="421"/>
      <c r="L7" s="429"/>
      <c r="M7" s="418"/>
    </row>
    <row r="8" spans="1:13" s="263" customFormat="1" ht="16" customHeight="1" x14ac:dyDescent="0.35">
      <c r="A8" s="418"/>
      <c r="B8" s="422"/>
      <c r="C8" s="423"/>
      <c r="D8" s="427"/>
      <c r="E8" s="429"/>
      <c r="F8" s="429"/>
      <c r="G8" s="429"/>
      <c r="H8" s="434"/>
      <c r="I8" s="435"/>
      <c r="J8" s="437"/>
      <c r="K8" s="425"/>
      <c r="L8" s="429"/>
      <c r="M8" s="418"/>
    </row>
    <row r="9" spans="1:13" s="263" customFormat="1" ht="16" customHeight="1" x14ac:dyDescent="0.35">
      <c r="A9" s="419"/>
      <c r="B9" s="424"/>
      <c r="C9" s="425"/>
      <c r="D9" s="233" t="s">
        <v>15</v>
      </c>
      <c r="E9" s="240" t="s">
        <v>15</v>
      </c>
      <c r="F9" s="240" t="s">
        <v>15</v>
      </c>
      <c r="G9" s="43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19"/>
    </row>
    <row r="10" spans="1:13" s="263" customFormat="1" ht="35.15" customHeight="1" x14ac:dyDescent="0.35">
      <c r="A10" s="255" t="s">
        <v>261</v>
      </c>
      <c r="B10" s="256"/>
      <c r="C10" s="234" t="s">
        <v>262</v>
      </c>
      <c r="D10" s="225">
        <f>SUM(D11,D14,D23,D26,D20)</f>
        <v>262825925</v>
      </c>
      <c r="E10" s="225">
        <f>SUM(E11,E14,E23,E26,E20)</f>
        <v>0</v>
      </c>
      <c r="F10" s="225">
        <f>F11+F14+F20+F23+F26</f>
        <v>262825925</v>
      </c>
      <c r="G10" s="226"/>
      <c r="H10" s="227">
        <f>H11+H14+H20+H23+H26</f>
        <v>84154164</v>
      </c>
      <c r="I10" s="228"/>
      <c r="J10" s="227"/>
      <c r="K10" s="227"/>
      <c r="L10" s="226">
        <f>F10-H10</f>
        <v>178671761</v>
      </c>
      <c r="M10" s="257"/>
    </row>
    <row r="11" spans="1:13" s="263" customFormat="1" ht="16" customHeight="1" x14ac:dyDescent="0.35">
      <c r="A11" s="258" t="s">
        <v>236</v>
      </c>
      <c r="B11" s="259"/>
      <c r="C11" s="235" t="s">
        <v>199</v>
      </c>
      <c r="D11" s="229">
        <f>SUM(D12:D12)</f>
        <v>92020000</v>
      </c>
      <c r="E11" s="229">
        <f>SUM(E12:E12)</f>
        <v>0</v>
      </c>
      <c r="F11" s="229">
        <f>F12</f>
        <v>92020000</v>
      </c>
      <c r="G11" s="230"/>
      <c r="H11" s="231">
        <f>SUM(H12:H12)</f>
        <v>17563108</v>
      </c>
      <c r="I11" s="232"/>
      <c r="J11" s="231"/>
      <c r="K11" s="231"/>
      <c r="L11" s="230">
        <f>F11-H11</f>
        <v>74456892</v>
      </c>
      <c r="M11" s="261"/>
    </row>
    <row r="12" spans="1:13" s="263" customFormat="1" ht="16" customHeight="1" x14ac:dyDescent="0.35">
      <c r="A12" s="241" t="s">
        <v>240</v>
      </c>
      <c r="B12" s="242"/>
      <c r="C12" s="243" t="s">
        <v>200</v>
      </c>
      <c r="D12" s="217">
        <v>92020000</v>
      </c>
      <c r="E12" s="217">
        <v>0</v>
      </c>
      <c r="F12" s="217">
        <f>D12+E12</f>
        <v>92020000</v>
      </c>
      <c r="G12" s="220">
        <f>F12/$F$47*100</f>
        <v>2.1017634969959111</v>
      </c>
      <c r="H12" s="316">
        <f>4700000+4700000+8163108</f>
        <v>17563108</v>
      </c>
      <c r="I12" s="220">
        <f>H12/F12*100</f>
        <v>19.086185611823517</v>
      </c>
      <c r="J12" s="221">
        <f t="shared" ref="J12" si="0">I12</f>
        <v>19.086185611823517</v>
      </c>
      <c r="K12" s="222">
        <f>J12*G12/100</f>
        <v>0.40114648215819237</v>
      </c>
      <c r="L12" s="223">
        <f>F12-H12</f>
        <v>74456892</v>
      </c>
      <c r="M12" s="244"/>
    </row>
    <row r="13" spans="1:13" s="263" customFormat="1" ht="15" customHeight="1" x14ac:dyDescent="0.35">
      <c r="A13" s="241"/>
      <c r="B13" s="262"/>
      <c r="C13" s="243"/>
      <c r="D13" s="217"/>
      <c r="E13" s="217"/>
      <c r="F13" s="218"/>
      <c r="G13" s="220"/>
      <c r="H13" s="219"/>
      <c r="I13" s="220"/>
      <c r="J13" s="221"/>
      <c r="K13" s="222"/>
      <c r="L13" s="223"/>
      <c r="M13" s="244"/>
    </row>
    <row r="14" spans="1:13" s="263" customFormat="1" ht="16" customHeight="1" x14ac:dyDescent="0.35">
      <c r="A14" s="264" t="s">
        <v>231</v>
      </c>
      <c r="B14" s="259"/>
      <c r="C14" s="265" t="s">
        <v>193</v>
      </c>
      <c r="D14" s="229">
        <f>SUM(D15:D18)</f>
        <v>71927201</v>
      </c>
      <c r="E14" s="229">
        <f>SUM(E15:E18)</f>
        <v>0</v>
      </c>
      <c r="F14" s="229">
        <f>SUM(F15:F18)</f>
        <v>71927201</v>
      </c>
      <c r="G14" s="230"/>
      <c r="H14" s="231">
        <f>SUM(H15:H18)</f>
        <v>38904646</v>
      </c>
      <c r="I14" s="232"/>
      <c r="J14" s="231"/>
      <c r="K14" s="231"/>
      <c r="L14" s="230">
        <f>F14-H14</f>
        <v>33022555</v>
      </c>
      <c r="M14" s="266"/>
    </row>
    <row r="15" spans="1:13" s="263" customFormat="1" ht="35.15" customHeight="1" x14ac:dyDescent="0.35">
      <c r="A15" s="241" t="s">
        <v>232</v>
      </c>
      <c r="B15" s="242"/>
      <c r="C15" s="243" t="s">
        <v>42</v>
      </c>
      <c r="D15" s="219">
        <v>3403260</v>
      </c>
      <c r="E15" s="217">
        <v>0</v>
      </c>
      <c r="F15" s="217">
        <f t="shared" ref="F15:F18" si="1">D15+E15</f>
        <v>3403260</v>
      </c>
      <c r="G15" s="220">
        <f t="shared" ref="G15:G18" si="2">F15/$F$47*100</f>
        <v>7.7731445759468637E-2</v>
      </c>
      <c r="H15" s="219">
        <v>3402705</v>
      </c>
      <c r="I15" s="220">
        <f t="shared" ref="I15:I18" si="3">H15/F15*100</f>
        <v>99.983692106979788</v>
      </c>
      <c r="J15" s="221">
        <f>I15</f>
        <v>99.983692106979788</v>
      </c>
      <c r="K15" s="222">
        <f>J15*G15/100</f>
        <v>7.7718769398451112E-2</v>
      </c>
      <c r="L15" s="223">
        <f t="shared" ref="L15:L18" si="4">F15-H15</f>
        <v>555</v>
      </c>
      <c r="M15" s="267"/>
    </row>
    <row r="16" spans="1:13" s="263" customFormat="1" ht="16" customHeight="1" x14ac:dyDescent="0.35">
      <c r="A16" s="241" t="s">
        <v>241</v>
      </c>
      <c r="B16" s="242"/>
      <c r="C16" s="236" t="s">
        <v>194</v>
      </c>
      <c r="D16" s="219">
        <v>36988641</v>
      </c>
      <c r="E16" s="217">
        <v>0</v>
      </c>
      <c r="F16" s="217">
        <f t="shared" si="1"/>
        <v>36988641</v>
      </c>
      <c r="G16" s="220">
        <f t="shared" si="2"/>
        <v>0.84483129164623272</v>
      </c>
      <c r="H16" s="219">
        <v>20904741</v>
      </c>
      <c r="I16" s="220">
        <f t="shared" si="3"/>
        <v>56.516650611737809</v>
      </c>
      <c r="J16" s="221">
        <f t="shared" ref="J16:J18" si="5">I16</f>
        <v>56.516650611737809</v>
      </c>
      <c r="K16" s="222">
        <f>J16*G16/100</f>
        <v>0.47747034935833305</v>
      </c>
      <c r="L16" s="223">
        <f t="shared" si="4"/>
        <v>16083900</v>
      </c>
      <c r="M16" s="244"/>
    </row>
    <row r="17" spans="1:13" s="263" customFormat="1" ht="16" customHeight="1" x14ac:dyDescent="0.35">
      <c r="A17" s="241" t="s">
        <v>242</v>
      </c>
      <c r="B17" s="242"/>
      <c r="C17" s="243" t="s">
        <v>40</v>
      </c>
      <c r="D17" s="219">
        <v>8710300</v>
      </c>
      <c r="E17" s="217">
        <v>0</v>
      </c>
      <c r="F17" s="217">
        <f t="shared" si="1"/>
        <v>8710300</v>
      </c>
      <c r="G17" s="220">
        <f t="shared" si="2"/>
        <v>0.19894577904676683</v>
      </c>
      <c r="H17" s="219">
        <f>3999200+1998000</f>
        <v>5997200</v>
      </c>
      <c r="I17" s="220">
        <f t="shared" si="3"/>
        <v>68.851819110708007</v>
      </c>
      <c r="J17" s="221">
        <f t="shared" si="5"/>
        <v>68.851819110708007</v>
      </c>
      <c r="K17" s="222">
        <f>J17*G17/100</f>
        <v>0.13697778791766874</v>
      </c>
      <c r="L17" s="223">
        <f t="shared" si="4"/>
        <v>2713100</v>
      </c>
      <c r="M17" s="244"/>
    </row>
    <row r="18" spans="1:13" s="263" customFormat="1" ht="16" customHeight="1" x14ac:dyDescent="0.35">
      <c r="A18" s="241" t="s">
        <v>243</v>
      </c>
      <c r="B18" s="242"/>
      <c r="C18" s="243" t="s">
        <v>195</v>
      </c>
      <c r="D18" s="219">
        <v>22825000</v>
      </c>
      <c r="E18" s="217">
        <v>0</v>
      </c>
      <c r="F18" s="217">
        <f t="shared" si="1"/>
        <v>22825000</v>
      </c>
      <c r="G18" s="220">
        <f t="shared" si="2"/>
        <v>0.52132962202707744</v>
      </c>
      <c r="H18" s="219">
        <f>3140000+510000+4950000</f>
        <v>8600000</v>
      </c>
      <c r="I18" s="220">
        <f t="shared" si="3"/>
        <v>37.677984665936478</v>
      </c>
      <c r="J18" s="221">
        <f t="shared" si="5"/>
        <v>37.677984665936478</v>
      </c>
      <c r="K18" s="222">
        <f>J18*G18/100</f>
        <v>0.19642649504634682</v>
      </c>
      <c r="L18" s="223">
        <f t="shared" si="4"/>
        <v>14225000</v>
      </c>
      <c r="M18" s="244"/>
    </row>
    <row r="19" spans="1:13" s="263" customFormat="1" ht="15" customHeight="1" x14ac:dyDescent="0.35">
      <c r="A19" s="268"/>
      <c r="B19" s="242"/>
      <c r="C19" s="236"/>
      <c r="D19" s="217"/>
      <c r="E19" s="217"/>
      <c r="F19" s="218"/>
      <c r="G19" s="220"/>
      <c r="H19" s="219"/>
      <c r="I19" s="220"/>
      <c r="J19" s="221"/>
      <c r="K19" s="222"/>
      <c r="L19" s="223"/>
      <c r="M19" s="244"/>
    </row>
    <row r="20" spans="1:13" s="263" customFormat="1" ht="35.15" customHeight="1" x14ac:dyDescent="0.35">
      <c r="A20" s="258" t="s">
        <v>281</v>
      </c>
      <c r="B20" s="259"/>
      <c r="C20" s="235" t="s">
        <v>282</v>
      </c>
      <c r="D20" s="229">
        <f>SUM(D21:D21)</f>
        <v>7826943</v>
      </c>
      <c r="E20" s="229">
        <f>SUM(E21:E21)</f>
        <v>0</v>
      </c>
      <c r="F20" s="229">
        <f>F21</f>
        <v>7826943</v>
      </c>
      <c r="G20" s="230"/>
      <c r="H20" s="231">
        <f>H21</f>
        <v>7770000</v>
      </c>
      <c r="I20" s="232"/>
      <c r="J20" s="231"/>
      <c r="K20" s="231"/>
      <c r="L20" s="230">
        <f>F20-H20</f>
        <v>56943</v>
      </c>
      <c r="M20" s="261"/>
    </row>
    <row r="21" spans="1:13" s="263" customFormat="1" ht="16" customHeight="1" x14ac:dyDescent="0.35">
      <c r="A21" s="241" t="s">
        <v>283</v>
      </c>
      <c r="B21" s="242"/>
      <c r="C21" s="243" t="s">
        <v>284</v>
      </c>
      <c r="D21" s="217">
        <v>7826943</v>
      </c>
      <c r="E21" s="217">
        <v>0</v>
      </c>
      <c r="F21" s="217">
        <f>D21+E21</f>
        <v>7826943</v>
      </c>
      <c r="G21" s="220">
        <f>F21/$F$47*100</f>
        <v>0.17876964888576036</v>
      </c>
      <c r="H21" s="320">
        <v>7770000</v>
      </c>
      <c r="I21" s="220">
        <f>H21/F21*100</f>
        <v>99.272474579155613</v>
      </c>
      <c r="J21" s="221">
        <f t="shared" ref="J21" si="6">I21</f>
        <v>99.272474579155613</v>
      </c>
      <c r="K21" s="222">
        <f>J21*G21/100</f>
        <v>0.17746905424536219</v>
      </c>
      <c r="L21" s="223">
        <f>F21-H21</f>
        <v>56943</v>
      </c>
      <c r="M21" s="244"/>
    </row>
    <row r="22" spans="1:13" s="263" customFormat="1" ht="15" customHeight="1" x14ac:dyDescent="0.35">
      <c r="A22" s="241"/>
      <c r="B22" s="262"/>
      <c r="C22" s="243"/>
      <c r="D22" s="217"/>
      <c r="E22" s="217"/>
      <c r="F22" s="218"/>
      <c r="G22" s="220"/>
      <c r="H22" s="219"/>
      <c r="I22" s="220"/>
      <c r="J22" s="221"/>
      <c r="K22" s="222"/>
      <c r="L22" s="223"/>
      <c r="M22" s="244"/>
    </row>
    <row r="23" spans="1:13" s="263" customFormat="1" ht="35.15" customHeight="1" x14ac:dyDescent="0.35">
      <c r="A23" s="258" t="s">
        <v>244</v>
      </c>
      <c r="B23" s="259"/>
      <c r="C23" s="235" t="s">
        <v>201</v>
      </c>
      <c r="D23" s="229">
        <f>SUM(D24:D24)</f>
        <v>66167981</v>
      </c>
      <c r="E23" s="229">
        <f>SUM(E24:E24)</f>
        <v>0</v>
      </c>
      <c r="F23" s="229">
        <f>F24</f>
        <v>66167981</v>
      </c>
      <c r="G23" s="230"/>
      <c r="H23" s="231">
        <f>SUM(H24:H24)</f>
        <v>16866410</v>
      </c>
      <c r="I23" s="232"/>
      <c r="J23" s="231"/>
      <c r="K23" s="231"/>
      <c r="L23" s="230">
        <f>F23-H23</f>
        <v>49301571</v>
      </c>
      <c r="M23" s="261"/>
    </row>
    <row r="24" spans="1:13" s="263" customFormat="1" ht="16" customHeight="1" x14ac:dyDescent="0.35">
      <c r="A24" s="241" t="s">
        <v>245</v>
      </c>
      <c r="B24" s="242"/>
      <c r="C24" s="243" t="s">
        <v>202</v>
      </c>
      <c r="D24" s="217">
        <v>66167981</v>
      </c>
      <c r="E24" s="217">
        <v>0</v>
      </c>
      <c r="F24" s="217">
        <f>D24+E24</f>
        <v>66167981</v>
      </c>
      <c r="G24" s="220">
        <f>F24/$F$47*100</f>
        <v>1.5112958828050316</v>
      </c>
      <c r="H24" s="314">
        <f>10920220+4012000+1721500+212690</f>
        <v>16866410</v>
      </c>
      <c r="I24" s="220">
        <f>H24/F24*100</f>
        <v>25.490289631173724</v>
      </c>
      <c r="J24" s="221">
        <f t="shared" ref="J24" si="7">I24</f>
        <v>25.490289631173724</v>
      </c>
      <c r="K24" s="222">
        <f>J24*G24/100</f>
        <v>0.38523369771100635</v>
      </c>
      <c r="L24" s="223">
        <f>F24-H24</f>
        <v>49301571</v>
      </c>
      <c r="M24" s="244"/>
    </row>
    <row r="25" spans="1:13" s="263" customFormat="1" ht="15" customHeight="1" x14ac:dyDescent="0.35">
      <c r="A25" s="241"/>
      <c r="B25" s="262"/>
      <c r="C25" s="243"/>
      <c r="D25" s="217"/>
      <c r="E25" s="217"/>
      <c r="F25" s="218"/>
      <c r="G25" s="220"/>
      <c r="H25" s="219"/>
      <c r="I25" s="220"/>
      <c r="J25" s="221"/>
      <c r="K25" s="222"/>
      <c r="L25" s="223"/>
      <c r="M25" s="244"/>
    </row>
    <row r="26" spans="1:13" s="263" customFormat="1" ht="35.15" customHeight="1" x14ac:dyDescent="0.35">
      <c r="A26" s="258" t="s">
        <v>246</v>
      </c>
      <c r="B26" s="259"/>
      <c r="C26" s="235" t="s">
        <v>203</v>
      </c>
      <c r="D26" s="229">
        <f>SUM(D27:D28)</f>
        <v>24883800</v>
      </c>
      <c r="E26" s="229">
        <f>SUM(E27:E28)</f>
        <v>0</v>
      </c>
      <c r="F26" s="229">
        <f>SUM(F27:F28)</f>
        <v>24883800</v>
      </c>
      <c r="G26" s="230"/>
      <c r="H26" s="231">
        <f>SUM(H27:H28)</f>
        <v>3050000</v>
      </c>
      <c r="I26" s="232"/>
      <c r="J26" s="231"/>
      <c r="K26" s="231"/>
      <c r="L26" s="230">
        <f>F26-H26</f>
        <v>21833800</v>
      </c>
      <c r="M26" s="261"/>
    </row>
    <row r="27" spans="1:13" s="263" customFormat="1" ht="35.15" customHeight="1" x14ac:dyDescent="0.35">
      <c r="A27" s="241" t="s">
        <v>247</v>
      </c>
      <c r="B27" s="242"/>
      <c r="C27" s="243" t="s">
        <v>311</v>
      </c>
      <c r="D27" s="217">
        <v>8210000</v>
      </c>
      <c r="E27" s="217">
        <v>0</v>
      </c>
      <c r="F27" s="217">
        <f>D27+E27</f>
        <v>8210000</v>
      </c>
      <c r="G27" s="220">
        <f>F27/$F$47*100</f>
        <v>0.1875187818988962</v>
      </c>
      <c r="H27" s="315">
        <v>3050000</v>
      </c>
      <c r="I27" s="220">
        <f t="shared" ref="I27:I28" si="8">H27/F27*100</f>
        <v>37.149817295980512</v>
      </c>
      <c r="J27" s="221">
        <f t="shared" ref="J27" si="9">I27</f>
        <v>37.149817295980512</v>
      </c>
      <c r="K27" s="222">
        <f>J27*G27/100</f>
        <v>6.9662884871088113E-2</v>
      </c>
      <c r="L27" s="223">
        <f>F27-H27</f>
        <v>5160000</v>
      </c>
      <c r="M27" s="244"/>
    </row>
    <row r="28" spans="1:13" s="263" customFormat="1" ht="35.15" customHeight="1" x14ac:dyDescent="0.35">
      <c r="A28" s="241" t="s">
        <v>316</v>
      </c>
      <c r="B28" s="242"/>
      <c r="C28" s="243" t="s">
        <v>315</v>
      </c>
      <c r="D28" s="217">
        <v>16673800</v>
      </c>
      <c r="E28" s="217">
        <v>0</v>
      </c>
      <c r="F28" s="217">
        <f>D28+E28</f>
        <v>16673800</v>
      </c>
      <c r="G28" s="220">
        <f>F28/$F$47*100</f>
        <v>0.38083442943067181</v>
      </c>
      <c r="H28" s="315">
        <v>0</v>
      </c>
      <c r="I28" s="220">
        <f t="shared" si="8"/>
        <v>0</v>
      </c>
      <c r="J28" s="221">
        <f t="shared" ref="J28" si="10">I28</f>
        <v>0</v>
      </c>
      <c r="K28" s="222">
        <f>J28*G28/100</f>
        <v>0</v>
      </c>
      <c r="L28" s="223">
        <f>F28-H28</f>
        <v>16673800</v>
      </c>
      <c r="M28" s="244"/>
    </row>
    <row r="29" spans="1:13" s="263" customFormat="1" ht="15" customHeight="1" x14ac:dyDescent="0.35">
      <c r="A29" s="241"/>
      <c r="B29" s="262"/>
      <c r="C29" s="243"/>
      <c r="D29" s="217"/>
      <c r="E29" s="217"/>
      <c r="F29" s="218"/>
      <c r="G29" s="220"/>
      <c r="H29" s="219"/>
      <c r="I29" s="220"/>
      <c r="J29" s="221"/>
      <c r="K29" s="222"/>
      <c r="L29" s="223"/>
      <c r="M29" s="244"/>
    </row>
    <row r="30" spans="1:13" s="263" customFormat="1" ht="35.15" customHeight="1" x14ac:dyDescent="0.35">
      <c r="A30" s="255" t="s">
        <v>263</v>
      </c>
      <c r="B30" s="256"/>
      <c r="C30" s="234" t="s">
        <v>264</v>
      </c>
      <c r="D30" s="225">
        <f>SUM(D31)</f>
        <v>96600000</v>
      </c>
      <c r="E30" s="225">
        <f>SUM(E31)</f>
        <v>0</v>
      </c>
      <c r="F30" s="225">
        <f>F31</f>
        <v>96600000</v>
      </c>
      <c r="G30" s="226"/>
      <c r="H30" s="227">
        <f>H31</f>
        <v>13800000</v>
      </c>
      <c r="I30" s="228"/>
      <c r="J30" s="227"/>
      <c r="K30" s="227"/>
      <c r="L30" s="226">
        <f>F30-H30</f>
        <v>82800000</v>
      </c>
      <c r="M30" s="257"/>
    </row>
    <row r="31" spans="1:13" s="263" customFormat="1" ht="50.15" customHeight="1" x14ac:dyDescent="0.35">
      <c r="A31" s="258" t="s">
        <v>258</v>
      </c>
      <c r="B31" s="259"/>
      <c r="C31" s="235" t="s">
        <v>205</v>
      </c>
      <c r="D31" s="229">
        <f>SUM(D32:D32)</f>
        <v>96600000</v>
      </c>
      <c r="E31" s="229">
        <f>SUM(E32:E32)</f>
        <v>0</v>
      </c>
      <c r="F31" s="229">
        <f>F32</f>
        <v>96600000</v>
      </c>
      <c r="G31" s="230"/>
      <c r="H31" s="231">
        <f>SUM(H32:H32)</f>
        <v>13800000</v>
      </c>
      <c r="I31" s="232"/>
      <c r="J31" s="231"/>
      <c r="K31" s="231"/>
      <c r="L31" s="230">
        <f>F31-H31</f>
        <v>82800000</v>
      </c>
      <c r="M31" s="260"/>
    </row>
    <row r="32" spans="1:13" s="263" customFormat="1" ht="35.15" customHeight="1" x14ac:dyDescent="0.35">
      <c r="A32" s="241" t="s">
        <v>321</v>
      </c>
      <c r="B32" s="262"/>
      <c r="C32" s="236" t="s">
        <v>310</v>
      </c>
      <c r="D32" s="217">
        <v>96600000</v>
      </c>
      <c r="E32" s="217">
        <v>0</v>
      </c>
      <c r="F32" s="217">
        <f>D32+E32</f>
        <v>96600000</v>
      </c>
      <c r="G32" s="220">
        <f>F32/$F$47*100</f>
        <v>2.2063720257531516</v>
      </c>
      <c r="H32" s="315">
        <f>6900000+6900000</f>
        <v>13800000</v>
      </c>
      <c r="I32" s="220">
        <f>H32/F32*100</f>
        <v>14.285714285714285</v>
      </c>
      <c r="J32" s="221">
        <f t="shared" ref="J32" si="11">I32</f>
        <v>14.285714285714285</v>
      </c>
      <c r="K32" s="222">
        <f>J32*G32/100</f>
        <v>0.31519600367902162</v>
      </c>
      <c r="L32" s="223">
        <f>F32-H32</f>
        <v>82800000</v>
      </c>
      <c r="M32" s="244"/>
    </row>
    <row r="33" spans="1:13" s="263" customFormat="1" ht="15" customHeight="1" x14ac:dyDescent="0.35">
      <c r="A33" s="241"/>
      <c r="B33" s="262"/>
      <c r="C33" s="236"/>
      <c r="D33" s="217"/>
      <c r="E33" s="217"/>
      <c r="F33" s="217"/>
      <c r="G33" s="220"/>
      <c r="H33" s="219"/>
      <c r="I33" s="220"/>
      <c r="J33" s="221"/>
      <c r="K33" s="222"/>
      <c r="L33" s="223"/>
      <c r="M33" s="244"/>
    </row>
    <row r="34" spans="1:13" s="263" customFormat="1" ht="35.15" customHeight="1" x14ac:dyDescent="0.35">
      <c r="A34" s="255" t="s">
        <v>265</v>
      </c>
      <c r="B34" s="256"/>
      <c r="C34" s="234" t="s">
        <v>266</v>
      </c>
      <c r="D34" s="225">
        <f>SUM(D35,D37,D40)</f>
        <v>4003813174</v>
      </c>
      <c r="E34" s="225">
        <f>SUM(E37)</f>
        <v>0</v>
      </c>
      <c r="F34" s="225">
        <f>SUM(F35,F37,F40)</f>
        <v>4003813174</v>
      </c>
      <c r="G34" s="226"/>
      <c r="H34" s="227">
        <f>SUM(H37,H35,H40)</f>
        <v>163370000</v>
      </c>
      <c r="I34" s="228"/>
      <c r="J34" s="227"/>
      <c r="K34" s="227"/>
      <c r="L34" s="226">
        <f>F34-H34</f>
        <v>3840443174</v>
      </c>
      <c r="M34" s="257"/>
    </row>
    <row r="35" spans="1:13" s="263" customFormat="1" ht="16" customHeight="1" x14ac:dyDescent="0.35">
      <c r="A35" s="258" t="s">
        <v>228</v>
      </c>
      <c r="B35" s="259"/>
      <c r="C35" s="235" t="s">
        <v>209</v>
      </c>
      <c r="D35" s="229">
        <f>SUM(D36)</f>
        <v>71690000</v>
      </c>
      <c r="E35" s="229">
        <f>SUM(E36:E37)</f>
        <v>0</v>
      </c>
      <c r="F35" s="229">
        <f>SUM(F36)</f>
        <v>71690000</v>
      </c>
      <c r="G35" s="230"/>
      <c r="H35" s="231">
        <f>SUM(H36)</f>
        <v>15770000</v>
      </c>
      <c r="I35" s="232"/>
      <c r="J35" s="231"/>
      <c r="K35" s="231"/>
      <c r="L35" s="230">
        <f>F35-H35</f>
        <v>55920000</v>
      </c>
      <c r="M35" s="260"/>
    </row>
    <row r="36" spans="1:13" s="263" customFormat="1" ht="35.15" customHeight="1" x14ac:dyDescent="0.35">
      <c r="A36" s="241" t="s">
        <v>277</v>
      </c>
      <c r="B36" s="262"/>
      <c r="C36" s="236" t="s">
        <v>278</v>
      </c>
      <c r="D36" s="217">
        <v>71690000</v>
      </c>
      <c r="E36" s="217">
        <v>0</v>
      </c>
      <c r="F36" s="217">
        <f>D36+E36</f>
        <v>71690000</v>
      </c>
      <c r="G36" s="220">
        <f>F36/$F$47*100</f>
        <v>1.6374203988223959</v>
      </c>
      <c r="H36" s="315">
        <f>4660000+6450000+4660000</f>
        <v>15770000</v>
      </c>
      <c r="I36" s="220">
        <f>H36/F36*100</f>
        <v>21.997489189566188</v>
      </c>
      <c r="J36" s="221">
        <f t="shared" ref="J36" si="12">I36</f>
        <v>21.997489189566188</v>
      </c>
      <c r="K36" s="222">
        <f>J36*G36/100</f>
        <v>0.36019137521870809</v>
      </c>
      <c r="L36" s="223">
        <f t="shared" ref="L36" si="13">F36-H36</f>
        <v>55920000</v>
      </c>
      <c r="M36" s="244"/>
    </row>
    <row r="37" spans="1:13" s="263" customFormat="1" ht="16" customHeight="1" x14ac:dyDescent="0.35">
      <c r="A37" s="258" t="s">
        <v>275</v>
      </c>
      <c r="B37" s="259"/>
      <c r="C37" s="235" t="s">
        <v>276</v>
      </c>
      <c r="D37" s="229">
        <f>SUM(D38:D39)</f>
        <v>3695185994</v>
      </c>
      <c r="E37" s="229">
        <f>SUM(E38:E39)</f>
        <v>0</v>
      </c>
      <c r="F37" s="229">
        <f>SUM(F38:F39)</f>
        <v>3695185994</v>
      </c>
      <c r="G37" s="230"/>
      <c r="H37" s="231">
        <f>SUM(H38:H39)</f>
        <v>147600000</v>
      </c>
      <c r="I37" s="232"/>
      <c r="J37" s="231"/>
      <c r="K37" s="231"/>
      <c r="L37" s="230">
        <f>F37-H37</f>
        <v>3547585994</v>
      </c>
      <c r="M37" s="260"/>
    </row>
    <row r="38" spans="1:13" s="263" customFormat="1" ht="16" customHeight="1" x14ac:dyDescent="0.35">
      <c r="A38" s="241" t="s">
        <v>279</v>
      </c>
      <c r="B38" s="262"/>
      <c r="C38" s="236" t="s">
        <v>280</v>
      </c>
      <c r="D38" s="217">
        <v>3684259994</v>
      </c>
      <c r="E38" s="217">
        <v>0</v>
      </c>
      <c r="F38" s="217">
        <f t="shared" ref="F38:F39" si="14">D38+E38</f>
        <v>3684259994</v>
      </c>
      <c r="G38" s="220">
        <f>F38/$F$47*100</f>
        <v>84.149567146615681</v>
      </c>
      <c r="H38" s="320">
        <f>16500000+3000000+16500000+111600000</f>
        <v>147600000</v>
      </c>
      <c r="I38" s="220">
        <f t="shared" ref="I38:I39" si="15">H38/F38*100</f>
        <v>4.0062319228386132</v>
      </c>
      <c r="J38" s="221">
        <f t="shared" ref="J38:J39" si="16">I38</f>
        <v>4.0062319228386132</v>
      </c>
      <c r="K38" s="222">
        <f>J38*G38/100</f>
        <v>3.3712268219582313</v>
      </c>
      <c r="L38" s="223">
        <f t="shared" ref="L38:L39" si="17">F38-H38</f>
        <v>3536659994</v>
      </c>
      <c r="M38" s="244"/>
    </row>
    <row r="39" spans="1:13" s="263" customFormat="1" ht="16" customHeight="1" x14ac:dyDescent="0.35">
      <c r="A39" s="241" t="s">
        <v>293</v>
      </c>
      <c r="B39" s="262"/>
      <c r="C39" s="236" t="s">
        <v>294</v>
      </c>
      <c r="D39" s="217">
        <v>10926000</v>
      </c>
      <c r="E39" s="217">
        <v>0</v>
      </c>
      <c r="F39" s="217">
        <f t="shared" si="14"/>
        <v>10926000</v>
      </c>
      <c r="G39" s="220">
        <f>F39/$F$47*100</f>
        <v>0.24955300986934714</v>
      </c>
      <c r="H39" s="219">
        <v>0</v>
      </c>
      <c r="I39" s="220">
        <f t="shared" si="15"/>
        <v>0</v>
      </c>
      <c r="J39" s="221">
        <f t="shared" si="16"/>
        <v>0</v>
      </c>
      <c r="K39" s="222">
        <f>J39*G39/100</f>
        <v>0</v>
      </c>
      <c r="L39" s="223">
        <f t="shared" si="17"/>
        <v>10926000</v>
      </c>
      <c r="M39" s="244"/>
    </row>
    <row r="40" spans="1:13" s="263" customFormat="1" ht="31.5" customHeight="1" x14ac:dyDescent="0.35">
      <c r="A40" s="258" t="s">
        <v>322</v>
      </c>
      <c r="B40" s="259"/>
      <c r="C40" s="235" t="s">
        <v>323</v>
      </c>
      <c r="D40" s="229">
        <f>SUM(D41:D42)</f>
        <v>236937180</v>
      </c>
      <c r="E40" s="229">
        <f>SUM(E41:E42)</f>
        <v>0</v>
      </c>
      <c r="F40" s="229">
        <f>SUM(F41:F42)</f>
        <v>236937180</v>
      </c>
      <c r="G40" s="230"/>
      <c r="H40" s="231">
        <f>SUM(H41:H42)</f>
        <v>0</v>
      </c>
      <c r="I40" s="232"/>
      <c r="J40" s="231"/>
      <c r="K40" s="231"/>
      <c r="L40" s="230">
        <f>F40-H40</f>
        <v>236937180</v>
      </c>
      <c r="M40" s="260"/>
    </row>
    <row r="41" spans="1:13" s="263" customFormat="1" ht="32.25" customHeight="1" x14ac:dyDescent="0.35">
      <c r="A41" s="241" t="s">
        <v>324</v>
      </c>
      <c r="B41" s="262"/>
      <c r="C41" s="236" t="s">
        <v>326</v>
      </c>
      <c r="D41" s="217">
        <v>16950000</v>
      </c>
      <c r="E41" s="217">
        <v>0</v>
      </c>
      <c r="F41" s="217">
        <f t="shared" ref="F41:F42" si="18">D41+E41</f>
        <v>16950000</v>
      </c>
      <c r="G41" s="220">
        <f>F41/$F$47*100</f>
        <v>0.38714291756227659</v>
      </c>
      <c r="H41" s="219">
        <v>0</v>
      </c>
      <c r="I41" s="220">
        <f t="shared" ref="I41:I42" si="19">H41/F41*100</f>
        <v>0</v>
      </c>
      <c r="J41" s="221">
        <f t="shared" ref="J41:J42" si="20">I41</f>
        <v>0</v>
      </c>
      <c r="K41" s="222">
        <f>J41*G41/100</f>
        <v>0</v>
      </c>
      <c r="L41" s="223">
        <f t="shared" ref="L41:L42" si="21">F41-H41</f>
        <v>16950000</v>
      </c>
      <c r="M41" s="244"/>
    </row>
    <row r="42" spans="1:13" s="263" customFormat="1" ht="46.5" customHeight="1" x14ac:dyDescent="0.35">
      <c r="A42" s="241" t="s">
        <v>325</v>
      </c>
      <c r="B42" s="262"/>
      <c r="C42" s="236" t="s">
        <v>327</v>
      </c>
      <c r="D42" s="217">
        <v>219987180</v>
      </c>
      <c r="E42" s="217">
        <v>0</v>
      </c>
      <c r="F42" s="217">
        <f t="shared" si="18"/>
        <v>219987180</v>
      </c>
      <c r="G42" s="220">
        <f>F42/$F$47*100</f>
        <v>5.0245710142476518</v>
      </c>
      <c r="H42" s="219">
        <v>0</v>
      </c>
      <c r="I42" s="220">
        <f t="shared" si="19"/>
        <v>0</v>
      </c>
      <c r="J42" s="221">
        <f t="shared" si="20"/>
        <v>0</v>
      </c>
      <c r="K42" s="222">
        <f>J42*G42/100</f>
        <v>0</v>
      </c>
      <c r="L42" s="223">
        <f t="shared" si="21"/>
        <v>219987180</v>
      </c>
      <c r="M42" s="244"/>
    </row>
    <row r="43" spans="1:13" s="263" customFormat="1" ht="15" customHeight="1" x14ac:dyDescent="0.35">
      <c r="A43" s="241"/>
      <c r="B43" s="262"/>
      <c r="C43" s="236"/>
      <c r="D43" s="217"/>
      <c r="E43" s="217"/>
      <c r="F43" s="218"/>
      <c r="G43" s="220"/>
      <c r="H43" s="219"/>
      <c r="I43" s="220"/>
      <c r="J43" s="221"/>
      <c r="K43" s="222"/>
      <c r="L43" s="223"/>
      <c r="M43" s="244"/>
    </row>
    <row r="44" spans="1:13" s="263" customFormat="1" ht="35.15" customHeight="1" x14ac:dyDescent="0.35">
      <c r="A44" s="255" t="s">
        <v>271</v>
      </c>
      <c r="B44" s="256"/>
      <c r="C44" s="234" t="s">
        <v>272</v>
      </c>
      <c r="D44" s="225">
        <f>SUM(D45)</f>
        <v>14989000</v>
      </c>
      <c r="E44" s="225">
        <f>SUM(E45)</f>
        <v>0</v>
      </c>
      <c r="F44" s="225">
        <f>SUM(F45)</f>
        <v>14989000</v>
      </c>
      <c r="G44" s="226"/>
      <c r="H44" s="227">
        <f>SUM(H45)</f>
        <v>6750000</v>
      </c>
      <c r="I44" s="228"/>
      <c r="J44" s="227"/>
      <c r="K44" s="227"/>
      <c r="L44" s="226">
        <f>F44-H44</f>
        <v>8239000</v>
      </c>
      <c r="M44" s="257"/>
    </row>
    <row r="45" spans="1:13" s="263" customFormat="1" ht="48.75" customHeight="1" x14ac:dyDescent="0.35">
      <c r="A45" s="258" t="s">
        <v>223</v>
      </c>
      <c r="B45" s="259"/>
      <c r="C45" s="235" t="s">
        <v>320</v>
      </c>
      <c r="D45" s="229">
        <f>SUM(D46)</f>
        <v>14989000</v>
      </c>
      <c r="E45" s="229">
        <f>SUM(E46:E48)</f>
        <v>0</v>
      </c>
      <c r="F45" s="229">
        <f>SUM(F46)</f>
        <v>14989000</v>
      </c>
      <c r="G45" s="230"/>
      <c r="H45" s="231">
        <f>SUM(H46)</f>
        <v>6750000</v>
      </c>
      <c r="I45" s="232"/>
      <c r="J45" s="231"/>
      <c r="K45" s="231"/>
      <c r="L45" s="230">
        <f>F45-H45</f>
        <v>8239000</v>
      </c>
      <c r="M45" s="260"/>
    </row>
    <row r="46" spans="1:13" s="263" customFormat="1" ht="35.15" customHeight="1" x14ac:dyDescent="0.35">
      <c r="A46" s="241" t="s">
        <v>225</v>
      </c>
      <c r="B46" s="262"/>
      <c r="C46" s="236" t="s">
        <v>220</v>
      </c>
      <c r="D46" s="217">
        <v>14989000</v>
      </c>
      <c r="E46" s="217">
        <v>0</v>
      </c>
      <c r="F46" s="217">
        <f>D46+E46</f>
        <v>14989000</v>
      </c>
      <c r="G46" s="220">
        <f>F46/$F$47*100</f>
        <v>0.34235310863368518</v>
      </c>
      <c r="H46" s="219">
        <f>3180000+3570000</f>
        <v>6750000</v>
      </c>
      <c r="I46" s="220">
        <f>H46/F46*100</f>
        <v>45.033024217759696</v>
      </c>
      <c r="J46" s="221">
        <f t="shared" ref="J46" si="22">I46</f>
        <v>45.033024217759696</v>
      </c>
      <c r="K46" s="222">
        <f>J46*G46/100</f>
        <v>0.1541719583212606</v>
      </c>
      <c r="L46" s="223">
        <f t="shared" ref="L46" si="23">F46-H46</f>
        <v>8239000</v>
      </c>
      <c r="M46" s="244"/>
    </row>
    <row r="47" spans="1:13" s="263" customFormat="1" ht="20.149999999999999" customHeight="1" x14ac:dyDescent="0.35">
      <c r="A47" s="441" t="s">
        <v>145</v>
      </c>
      <c r="B47" s="442"/>
      <c r="C47" s="442"/>
      <c r="D47" s="237">
        <f>D10+D30+D34+D44</f>
        <v>4378228099</v>
      </c>
      <c r="E47" s="237">
        <f>E10+E30+E34</f>
        <v>0</v>
      </c>
      <c r="F47" s="237">
        <f>F10+F30+F34+F44</f>
        <v>4378228099</v>
      </c>
      <c r="G47" s="238">
        <f>SUM(G12:G46)</f>
        <v>100</v>
      </c>
      <c r="H47" s="237">
        <f>H10+H30+H34+H44</f>
        <v>268074164</v>
      </c>
      <c r="I47" s="269">
        <f>H47/F47*100</f>
        <v>6.1228916798836703</v>
      </c>
      <c r="J47" s="238">
        <f>I47</f>
        <v>6.1228916798836703</v>
      </c>
      <c r="K47" s="238">
        <f>J47*G47/100</f>
        <v>6.1228916798836703</v>
      </c>
      <c r="L47" s="237">
        <f>L10+L30+L34+L44</f>
        <v>4110153935</v>
      </c>
      <c r="M47" s="270"/>
    </row>
    <row r="48" spans="1:13" s="263" customFormat="1" ht="15.5" x14ac:dyDescent="0.35">
      <c r="A48" s="271"/>
      <c r="B48" s="272"/>
      <c r="C48" s="272"/>
      <c r="D48" s="273"/>
      <c r="E48" s="274"/>
      <c r="F48" s="274"/>
      <c r="G48" s="275"/>
      <c r="H48" s="274"/>
      <c r="I48" s="276"/>
      <c r="J48" s="276"/>
      <c r="K48" s="276"/>
      <c r="L48" s="310"/>
      <c r="M48" s="277"/>
    </row>
    <row r="49" spans="1:13" s="263" customFormat="1" ht="15.5" x14ac:dyDescent="0.35">
      <c r="A49" s="271"/>
      <c r="B49" s="272"/>
      <c r="C49" s="272"/>
      <c r="D49" s="274"/>
      <c r="E49" s="274"/>
      <c r="F49" s="278"/>
      <c r="G49" s="275"/>
      <c r="H49" s="278"/>
      <c r="I49" s="443" t="s">
        <v>341</v>
      </c>
      <c r="J49" s="443"/>
      <c r="K49" s="443"/>
      <c r="L49" s="276"/>
      <c r="M49" s="277"/>
    </row>
    <row r="50" spans="1:13" s="263" customFormat="1" ht="15.5" x14ac:dyDescent="0.35">
      <c r="A50" s="271"/>
      <c r="B50" s="272"/>
      <c r="C50" s="272"/>
      <c r="D50" s="279"/>
      <c r="E50" s="274"/>
      <c r="F50" s="279"/>
      <c r="G50" s="280"/>
      <c r="H50" s="278"/>
      <c r="I50" s="443" t="s">
        <v>177</v>
      </c>
      <c r="J50" s="443"/>
      <c r="K50" s="443"/>
      <c r="L50" s="276"/>
      <c r="M50" s="277"/>
    </row>
    <row r="51" spans="1:13" s="263" customFormat="1" ht="15.5" x14ac:dyDescent="0.35">
      <c r="A51" s="271"/>
      <c r="B51" s="272"/>
      <c r="C51" s="272"/>
      <c r="D51" s="274"/>
      <c r="E51" s="274"/>
      <c r="F51" s="279"/>
      <c r="G51" s="280"/>
      <c r="H51" s="289"/>
      <c r="I51" s="443"/>
      <c r="J51" s="443"/>
      <c r="K51" s="443"/>
      <c r="L51" s="276"/>
      <c r="M51" s="277"/>
    </row>
    <row r="52" spans="1:13" s="263" customFormat="1" ht="15.5" x14ac:dyDescent="0.35">
      <c r="A52" s="271"/>
      <c r="B52" s="272"/>
      <c r="C52" s="272"/>
      <c r="D52" s="274"/>
      <c r="E52" s="274"/>
      <c r="F52" s="279"/>
      <c r="G52" s="280"/>
      <c r="H52" s="289"/>
      <c r="I52" s="281"/>
      <c r="J52" s="281"/>
      <c r="K52" s="281"/>
      <c r="L52" s="276"/>
      <c r="M52" s="277"/>
    </row>
    <row r="53" spans="1:13" s="263" customFormat="1" ht="15.5" x14ac:dyDescent="0.35">
      <c r="A53" s="271"/>
      <c r="B53" s="272"/>
      <c r="C53" s="272"/>
      <c r="D53" s="274"/>
      <c r="E53" s="274"/>
      <c r="F53" s="274"/>
      <c r="G53" s="280"/>
      <c r="H53" s="289"/>
      <c r="I53" s="282"/>
      <c r="J53" s="281"/>
      <c r="K53" s="282"/>
      <c r="L53" s="276"/>
      <c r="M53" s="277"/>
    </row>
    <row r="54" spans="1:13" s="263" customFormat="1" ht="18.5" x14ac:dyDescent="0.35">
      <c r="A54" s="271"/>
      <c r="B54" s="272"/>
      <c r="C54" s="278"/>
      <c r="D54" s="274"/>
      <c r="E54" s="274"/>
      <c r="F54" s="274"/>
      <c r="G54" s="280"/>
      <c r="H54" s="278"/>
      <c r="I54" s="444" t="s">
        <v>329</v>
      </c>
      <c r="J54" s="444"/>
      <c r="K54" s="444"/>
      <c r="L54" s="276"/>
      <c r="M54" s="277"/>
    </row>
    <row r="55" spans="1:13" s="263" customFormat="1" ht="15.5" x14ac:dyDescent="0.35">
      <c r="A55" s="283"/>
      <c r="B55" s="284"/>
      <c r="C55" s="284"/>
      <c r="D55" s="285"/>
      <c r="E55" s="285"/>
      <c r="F55" s="285"/>
      <c r="G55" s="286"/>
      <c r="H55" s="287"/>
      <c r="I55" s="440" t="s">
        <v>330</v>
      </c>
      <c r="J55" s="440"/>
      <c r="K55" s="440"/>
      <c r="L55" s="311"/>
      <c r="M55" s="288"/>
    </row>
  </sheetData>
  <protectedRanges>
    <protectedRange sqref="H15" name="Range1_2"/>
    <protectedRange sqref="H34:H46" name="Range1_3"/>
  </protectedRanges>
  <mergeCells count="20">
    <mergeCell ref="I49:K49"/>
    <mergeCell ref="I50:K50"/>
    <mergeCell ref="I51:K51"/>
    <mergeCell ref="I54:K54"/>
    <mergeCell ref="I55:K55"/>
    <mergeCell ref="A47:C47"/>
    <mergeCell ref="L6:L8"/>
    <mergeCell ref="M6:M9"/>
    <mergeCell ref="H7:I8"/>
    <mergeCell ref="J7:K8"/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</mergeCells>
  <pageMargins left="0.48" right="0.55118110236220474" top="0.75" bottom="0.31496062992125984" header="0.31496062992125984" footer="0.25"/>
  <pageSetup paperSize="5" scale="7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1"/>
  <sheetViews>
    <sheetView view="pageBreakPreview" topLeftCell="C70" zoomScale="90" zoomScaleNormal="70" zoomScaleSheetLayoutView="90" workbookViewId="0">
      <selection activeCell="G96" sqref="G96"/>
    </sheetView>
  </sheetViews>
  <sheetFormatPr defaultColWidth="9.1796875" defaultRowHeight="14.5" x14ac:dyDescent="0.35"/>
  <cols>
    <col min="1" max="1" width="18.81640625" style="88" customWidth="1"/>
    <col min="2" max="2" width="1.26953125" style="88" customWidth="1"/>
    <col min="3" max="3" width="50.453125" style="88" customWidth="1"/>
    <col min="4" max="6" width="15.7265625" style="88" customWidth="1"/>
    <col min="7" max="7" width="10.54296875" style="88" customWidth="1"/>
    <col min="8" max="8" width="17.7265625" style="328" customWidth="1"/>
    <col min="9" max="9" width="8.26953125" style="88" customWidth="1"/>
    <col min="10" max="10" width="8.453125" style="88" customWidth="1"/>
    <col min="11" max="11" width="16" style="88" customWidth="1"/>
    <col min="12" max="12" width="17.26953125" style="88" customWidth="1"/>
    <col min="13" max="13" width="10.453125" style="88" customWidth="1"/>
    <col min="14" max="14" width="6.453125" style="88" customWidth="1"/>
    <col min="15" max="15" width="16.1796875" style="88" customWidth="1"/>
    <col min="16" max="16384" width="9.1796875" style="88"/>
  </cols>
  <sheetData>
    <row r="1" spans="1:15" s="245" customFormat="1" ht="27" customHeight="1" x14ac:dyDescent="0.35">
      <c r="A1" s="410" t="s">
        <v>198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2"/>
      <c r="O1" s="334"/>
    </row>
    <row r="2" spans="1:15" s="263" customFormat="1" ht="28.5" customHeight="1" x14ac:dyDescent="0.35">
      <c r="A2" s="413" t="s">
        <v>319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5"/>
      <c r="O2" s="334"/>
    </row>
    <row r="3" spans="1:15" s="263" customFormat="1" ht="15" customHeight="1" x14ac:dyDescent="0.35">
      <c r="A3" s="246"/>
      <c r="B3" s="247"/>
      <c r="C3" s="248"/>
      <c r="D3" s="248"/>
      <c r="E3" s="248"/>
      <c r="F3" s="248"/>
      <c r="G3" s="248"/>
      <c r="H3" s="322"/>
      <c r="I3" s="248"/>
      <c r="J3" s="248"/>
      <c r="K3" s="248"/>
      <c r="L3" s="248"/>
      <c r="M3" s="249"/>
      <c r="O3" s="334"/>
    </row>
    <row r="4" spans="1:15" s="263" customFormat="1" ht="15" customHeight="1" x14ac:dyDescent="0.35">
      <c r="A4" s="250" t="s">
        <v>273</v>
      </c>
      <c r="B4" s="251" t="s">
        <v>1</v>
      </c>
      <c r="C4" s="252" t="s">
        <v>318</v>
      </c>
      <c r="D4" s="251"/>
      <c r="E4" s="251"/>
      <c r="F4" s="253"/>
      <c r="G4" s="253"/>
      <c r="H4" s="253"/>
      <c r="I4" s="251"/>
      <c r="J4" s="251"/>
      <c r="K4" s="251"/>
      <c r="L4" s="251"/>
      <c r="M4" s="254"/>
      <c r="O4" s="334"/>
    </row>
    <row r="5" spans="1:15" s="263" customFormat="1" ht="15" customHeight="1" x14ac:dyDescent="0.35">
      <c r="A5" s="250" t="s">
        <v>3</v>
      </c>
      <c r="B5" s="251" t="s">
        <v>1</v>
      </c>
      <c r="C5" s="252" t="s">
        <v>339</v>
      </c>
      <c r="D5" s="416"/>
      <c r="E5" s="416"/>
      <c r="F5" s="253"/>
      <c r="G5" s="253"/>
      <c r="H5" s="253"/>
      <c r="I5" s="251"/>
      <c r="J5" s="251"/>
      <c r="K5" s="251"/>
      <c r="L5" s="251"/>
      <c r="M5" s="254"/>
      <c r="O5" s="334"/>
    </row>
    <row r="6" spans="1:15" s="263" customFormat="1" ht="16" customHeight="1" x14ac:dyDescent="0.35">
      <c r="A6" s="417" t="s">
        <v>4</v>
      </c>
      <c r="B6" s="420" t="s">
        <v>5</v>
      </c>
      <c r="C6" s="421"/>
      <c r="D6" s="426" t="s">
        <v>189</v>
      </c>
      <c r="E6" s="428" t="s">
        <v>190</v>
      </c>
      <c r="F6" s="428" t="s">
        <v>191</v>
      </c>
      <c r="G6" s="428" t="s">
        <v>9</v>
      </c>
      <c r="H6" s="431" t="s">
        <v>204</v>
      </c>
      <c r="I6" s="431"/>
      <c r="J6" s="431"/>
      <c r="K6" s="431"/>
      <c r="L6" s="428" t="s">
        <v>192</v>
      </c>
      <c r="M6" s="417" t="s">
        <v>12</v>
      </c>
      <c r="O6" s="334"/>
    </row>
    <row r="7" spans="1:15" s="263" customFormat="1" ht="16" customHeight="1" x14ac:dyDescent="0.35">
      <c r="A7" s="418"/>
      <c r="B7" s="422"/>
      <c r="C7" s="423"/>
      <c r="D7" s="427"/>
      <c r="E7" s="429"/>
      <c r="F7" s="429"/>
      <c r="G7" s="429"/>
      <c r="H7" s="432" t="s">
        <v>13</v>
      </c>
      <c r="I7" s="433"/>
      <c r="J7" s="436" t="s">
        <v>14</v>
      </c>
      <c r="K7" s="421"/>
      <c r="L7" s="429"/>
      <c r="M7" s="418"/>
      <c r="O7" s="334"/>
    </row>
    <row r="8" spans="1:15" s="263" customFormat="1" ht="16" customHeight="1" x14ac:dyDescent="0.35">
      <c r="A8" s="418"/>
      <c r="B8" s="422"/>
      <c r="C8" s="423"/>
      <c r="D8" s="427"/>
      <c r="E8" s="429"/>
      <c r="F8" s="429"/>
      <c r="G8" s="429"/>
      <c r="H8" s="434"/>
      <c r="I8" s="435"/>
      <c r="J8" s="437"/>
      <c r="K8" s="425"/>
      <c r="L8" s="429"/>
      <c r="M8" s="418"/>
      <c r="O8" s="334"/>
    </row>
    <row r="9" spans="1:15" s="263" customFormat="1" ht="16" customHeight="1" x14ac:dyDescent="0.35">
      <c r="A9" s="419"/>
      <c r="B9" s="424"/>
      <c r="C9" s="425"/>
      <c r="D9" s="233" t="s">
        <v>15</v>
      </c>
      <c r="E9" s="240" t="s">
        <v>15</v>
      </c>
      <c r="F9" s="240" t="s">
        <v>15</v>
      </c>
      <c r="G9" s="430"/>
      <c r="H9" s="239" t="s">
        <v>15</v>
      </c>
      <c r="I9" s="239" t="s">
        <v>16</v>
      </c>
      <c r="J9" s="239" t="s">
        <v>16</v>
      </c>
      <c r="K9" s="240" t="s">
        <v>17</v>
      </c>
      <c r="L9" s="240" t="s">
        <v>15</v>
      </c>
      <c r="M9" s="419"/>
      <c r="O9" s="334"/>
    </row>
    <row r="10" spans="1:15" s="263" customFormat="1" ht="30" customHeight="1" x14ac:dyDescent="0.35">
      <c r="A10" s="255" t="s">
        <v>261</v>
      </c>
      <c r="B10" s="256"/>
      <c r="C10" s="234" t="s">
        <v>262</v>
      </c>
      <c r="D10" s="225">
        <f>SUM(D11,D15,D20,D29,D33,D26)</f>
        <v>5712406343</v>
      </c>
      <c r="E10" s="225"/>
      <c r="F10" s="225">
        <f>SUM(F11,F15,F20,F29,F33,F26)</f>
        <v>5712406343</v>
      </c>
      <c r="G10" s="226"/>
      <c r="H10" s="227">
        <f>H11+H15+H20+H26+H29+H33</f>
        <v>675337757</v>
      </c>
      <c r="I10" s="228"/>
      <c r="J10" s="227"/>
      <c r="K10" s="227"/>
      <c r="L10" s="226">
        <f>F10-H10</f>
        <v>5037068586</v>
      </c>
      <c r="M10" s="257"/>
      <c r="O10" s="334"/>
    </row>
    <row r="11" spans="1:15" s="263" customFormat="1" ht="30" customHeight="1" x14ac:dyDescent="0.35">
      <c r="A11" s="258" t="s">
        <v>233</v>
      </c>
      <c r="B11" s="259"/>
      <c r="C11" s="235" t="s">
        <v>196</v>
      </c>
      <c r="D11" s="229">
        <f>SUM(D12:D13)</f>
        <v>32976600</v>
      </c>
      <c r="E11" s="229"/>
      <c r="F11" s="229">
        <f>SUM(F12:F13)</f>
        <v>32976600</v>
      </c>
      <c r="G11" s="230"/>
      <c r="H11" s="231">
        <f>SUM(H12:H13)</f>
        <v>6100000</v>
      </c>
      <c r="I11" s="232"/>
      <c r="J11" s="231"/>
      <c r="K11" s="231"/>
      <c r="L11" s="230">
        <f>F11-H11</f>
        <v>26876600</v>
      </c>
      <c r="M11" s="260"/>
      <c r="O11" s="334"/>
    </row>
    <row r="12" spans="1:15" s="263" customFormat="1" ht="15" customHeight="1" x14ac:dyDescent="0.35">
      <c r="A12" s="241" t="s">
        <v>234</v>
      </c>
      <c r="B12" s="242"/>
      <c r="C12" s="236" t="s">
        <v>197</v>
      </c>
      <c r="D12" s="217">
        <v>18731600</v>
      </c>
      <c r="E12" s="217">
        <v>0</v>
      </c>
      <c r="F12" s="217">
        <f>D12</f>
        <v>18731600</v>
      </c>
      <c r="G12" s="220">
        <f>F12/$F$81*100</f>
        <v>0.17211138084937425</v>
      </c>
      <c r="H12" s="219">
        <v>6100000</v>
      </c>
      <c r="I12" s="220">
        <f>H12/F12*100</f>
        <v>32.565290738644862</v>
      </c>
      <c r="J12" s="221">
        <f>I12</f>
        <v>32.565290738644862</v>
      </c>
      <c r="K12" s="222">
        <f>J12*G12/100</f>
        <v>5.6048571567895056E-2</v>
      </c>
      <c r="L12" s="223">
        <f>F12-H12</f>
        <v>12631600</v>
      </c>
      <c r="M12" s="244"/>
      <c r="O12" s="335">
        <v>6100000</v>
      </c>
    </row>
    <row r="13" spans="1:15" s="263" customFormat="1" ht="15" customHeight="1" x14ac:dyDescent="0.35">
      <c r="A13" s="241" t="s">
        <v>235</v>
      </c>
      <c r="B13" s="242"/>
      <c r="C13" s="236" t="s">
        <v>287</v>
      </c>
      <c r="D13" s="217">
        <v>14245000</v>
      </c>
      <c r="E13" s="217">
        <v>0</v>
      </c>
      <c r="F13" s="217">
        <f>D13</f>
        <v>14245000</v>
      </c>
      <c r="G13" s="220">
        <f>F13/$F$81*100</f>
        <v>0.1308871970466664</v>
      </c>
      <c r="H13" s="219">
        <v>0</v>
      </c>
      <c r="I13" s="220">
        <f>H13/F13*100</f>
        <v>0</v>
      </c>
      <c r="J13" s="221">
        <f>I13</f>
        <v>0</v>
      </c>
      <c r="K13" s="222">
        <f>J13*G13/100</f>
        <v>0</v>
      </c>
      <c r="L13" s="223">
        <f>F13-H13</f>
        <v>14245000</v>
      </c>
      <c r="M13" s="244"/>
      <c r="O13" s="335">
        <v>0</v>
      </c>
    </row>
    <row r="14" spans="1:15" s="263" customFormat="1" ht="15" customHeight="1" x14ac:dyDescent="0.35">
      <c r="A14" s="241"/>
      <c r="B14" s="262"/>
      <c r="C14" s="236"/>
      <c r="D14" s="217"/>
      <c r="E14" s="217"/>
      <c r="F14" s="218"/>
      <c r="G14" s="220"/>
      <c r="H14" s="219"/>
      <c r="I14" s="220"/>
      <c r="J14" s="221"/>
      <c r="K14" s="222"/>
      <c r="L14" s="223"/>
      <c r="M14" s="244"/>
      <c r="O14" s="335">
        <v>0</v>
      </c>
    </row>
    <row r="15" spans="1:15" s="263" customFormat="1" ht="15" customHeight="1" x14ac:dyDescent="0.35">
      <c r="A15" s="258" t="s">
        <v>236</v>
      </c>
      <c r="B15" s="259"/>
      <c r="C15" s="235" t="s">
        <v>199</v>
      </c>
      <c r="D15" s="229">
        <f>SUM(D16:D18)</f>
        <v>5183880378</v>
      </c>
      <c r="E15" s="229"/>
      <c r="F15" s="229">
        <f>SUM(F16:F18)</f>
        <v>5183880378</v>
      </c>
      <c r="G15" s="230"/>
      <c r="H15" s="231">
        <f>SUM(H16:H18)</f>
        <v>532161960</v>
      </c>
      <c r="I15" s="232"/>
      <c r="J15" s="231"/>
      <c r="K15" s="231"/>
      <c r="L15" s="230">
        <f>F15-H15</f>
        <v>4651718418</v>
      </c>
      <c r="M15" s="261"/>
      <c r="O15" s="335">
        <v>0</v>
      </c>
    </row>
    <row r="16" spans="1:15" s="263" customFormat="1" ht="15" customHeight="1" x14ac:dyDescent="0.35">
      <c r="A16" s="241" t="s">
        <v>237</v>
      </c>
      <c r="B16" s="242"/>
      <c r="C16" s="243" t="s">
        <v>239</v>
      </c>
      <c r="D16" s="217">
        <v>4798303650</v>
      </c>
      <c r="E16" s="217">
        <v>0</v>
      </c>
      <c r="F16" s="217">
        <f>D16+E16</f>
        <v>4798303650</v>
      </c>
      <c r="G16" s="220">
        <f>F16/$F$81*100</f>
        <v>44.088207464183121</v>
      </c>
      <c r="H16" s="219">
        <v>474669374</v>
      </c>
      <c r="I16" s="220">
        <f t="shared" ref="I16:I18" si="0">H16/F16*100</f>
        <v>9.8924413422647817</v>
      </c>
      <c r="J16" s="221">
        <f t="shared" ref="J16:J18" si="1">I16</f>
        <v>9.8924413422647817</v>
      </c>
      <c r="K16" s="222">
        <f>J16*G16/100</f>
        <v>4.3614000622503184</v>
      </c>
      <c r="L16" s="223">
        <f t="shared" ref="L16:L18" si="2">F16-H16</f>
        <v>4323634276</v>
      </c>
      <c r="M16" s="244"/>
      <c r="O16" s="335">
        <v>474669374</v>
      </c>
    </row>
    <row r="17" spans="1:15" s="263" customFormat="1" ht="15" customHeight="1" x14ac:dyDescent="0.35">
      <c r="A17" s="241" t="s">
        <v>240</v>
      </c>
      <c r="B17" s="242"/>
      <c r="C17" s="243" t="s">
        <v>200</v>
      </c>
      <c r="D17" s="217">
        <f>274466928+92020000</f>
        <v>366486928</v>
      </c>
      <c r="E17" s="217">
        <v>0</v>
      </c>
      <c r="F17" s="217">
        <f t="shared" ref="F17:F18" si="3">D17+E17</f>
        <v>366486928</v>
      </c>
      <c r="G17" s="220">
        <f>F17/$F$81*100</f>
        <v>3.3673883299518037</v>
      </c>
      <c r="H17" s="219">
        <v>57492586</v>
      </c>
      <c r="I17" s="220">
        <f t="shared" si="0"/>
        <v>15.687486130473935</v>
      </c>
      <c r="J17" s="221">
        <f t="shared" si="1"/>
        <v>15.687486130473935</v>
      </c>
      <c r="K17" s="222">
        <f>J17*G17/100</f>
        <v>0.52825857722038716</v>
      </c>
      <c r="L17" s="223">
        <f t="shared" si="2"/>
        <v>308994342</v>
      </c>
      <c r="M17" s="244"/>
      <c r="O17" s="335">
        <v>57492586</v>
      </c>
    </row>
    <row r="18" spans="1:15" s="263" customFormat="1" ht="15" customHeight="1" x14ac:dyDescent="0.35">
      <c r="A18" s="241" t="s">
        <v>288</v>
      </c>
      <c r="B18" s="242"/>
      <c r="C18" s="243" t="s">
        <v>289</v>
      </c>
      <c r="D18" s="217">
        <v>19089800</v>
      </c>
      <c r="E18" s="217">
        <v>0</v>
      </c>
      <c r="F18" s="217">
        <f t="shared" si="3"/>
        <v>19089800</v>
      </c>
      <c r="G18" s="220">
        <f>F18/$F$81*100</f>
        <v>0.17540262647816443</v>
      </c>
      <c r="H18" s="219">
        <v>0</v>
      </c>
      <c r="I18" s="220">
        <f t="shared" si="0"/>
        <v>0</v>
      </c>
      <c r="J18" s="221">
        <f t="shared" si="1"/>
        <v>0</v>
      </c>
      <c r="K18" s="222">
        <f>J18*G18/100</f>
        <v>0</v>
      </c>
      <c r="L18" s="223">
        <f t="shared" si="2"/>
        <v>19089800</v>
      </c>
      <c r="M18" s="244"/>
      <c r="O18" s="335">
        <v>0</v>
      </c>
    </row>
    <row r="19" spans="1:15" s="263" customFormat="1" ht="15" customHeight="1" x14ac:dyDescent="0.35">
      <c r="A19" s="241"/>
      <c r="B19" s="262"/>
      <c r="C19" s="243"/>
      <c r="D19" s="217"/>
      <c r="E19" s="217"/>
      <c r="F19" s="218"/>
      <c r="G19" s="220"/>
      <c r="H19" s="219"/>
      <c r="I19" s="220"/>
      <c r="J19" s="221"/>
      <c r="K19" s="222"/>
      <c r="L19" s="223"/>
      <c r="M19" s="244"/>
      <c r="O19" s="335">
        <v>0</v>
      </c>
    </row>
    <row r="20" spans="1:15" s="263" customFormat="1" ht="15" customHeight="1" x14ac:dyDescent="0.35">
      <c r="A20" s="264" t="s">
        <v>231</v>
      </c>
      <c r="B20" s="259"/>
      <c r="C20" s="265" t="s">
        <v>193</v>
      </c>
      <c r="D20" s="229">
        <f>SUM(D21:D24)</f>
        <v>199459001</v>
      </c>
      <c r="E20" s="229"/>
      <c r="F20" s="229">
        <f>SUM(F21:F24)</f>
        <v>199459001</v>
      </c>
      <c r="G20" s="230"/>
      <c r="H20" s="231">
        <f>SUM(H21:H24)</f>
        <v>78255504</v>
      </c>
      <c r="I20" s="232"/>
      <c r="J20" s="231"/>
      <c r="K20" s="231"/>
      <c r="L20" s="230">
        <f>F20-H20</f>
        <v>121203497</v>
      </c>
      <c r="M20" s="266"/>
      <c r="O20" s="335">
        <v>0</v>
      </c>
    </row>
    <row r="21" spans="1:15" s="263" customFormat="1" ht="15" customHeight="1" x14ac:dyDescent="0.35">
      <c r="A21" s="241" t="s">
        <v>232</v>
      </c>
      <c r="B21" s="242"/>
      <c r="C21" s="243" t="s">
        <v>42</v>
      </c>
      <c r="D21" s="219">
        <f>1968000+3403260</f>
        <v>5371260</v>
      </c>
      <c r="E21" s="217">
        <v>0</v>
      </c>
      <c r="F21" s="217">
        <f t="shared" ref="F21:F24" si="4">D21+E21</f>
        <v>5371260</v>
      </c>
      <c r="G21" s="220">
        <f t="shared" ref="G21:G24" si="5">F21/$F$81*100</f>
        <v>4.9352696806519991E-2</v>
      </c>
      <c r="H21" s="219">
        <v>3893105</v>
      </c>
      <c r="I21" s="220">
        <f t="shared" ref="I21:I24" si="6">H21/F21*100</f>
        <v>72.480293264522672</v>
      </c>
      <c r="J21" s="221">
        <f>I21</f>
        <v>72.480293264522672</v>
      </c>
      <c r="K21" s="222">
        <f>J21*G21/100</f>
        <v>3.5770979379316406E-2</v>
      </c>
      <c r="L21" s="223">
        <f t="shared" ref="L21:L24" si="7">F21-H21</f>
        <v>1478155</v>
      </c>
      <c r="M21" s="267"/>
      <c r="O21" s="335">
        <v>3893105</v>
      </c>
    </row>
    <row r="22" spans="1:15" s="263" customFormat="1" ht="15" customHeight="1" x14ac:dyDescent="0.35">
      <c r="A22" s="241" t="s">
        <v>241</v>
      </c>
      <c r="B22" s="242"/>
      <c r="C22" s="236" t="s">
        <v>194</v>
      </c>
      <c r="D22" s="219">
        <f>32694600+36988641</f>
        <v>69683241</v>
      </c>
      <c r="E22" s="217">
        <v>0</v>
      </c>
      <c r="F22" s="217">
        <f t="shared" si="4"/>
        <v>69683241</v>
      </c>
      <c r="G22" s="220">
        <f t="shared" si="5"/>
        <v>0.6402698557821932</v>
      </c>
      <c r="H22" s="219">
        <v>28837641</v>
      </c>
      <c r="I22" s="220">
        <f t="shared" si="6"/>
        <v>41.38389745677874</v>
      </c>
      <c r="J22" s="221">
        <f t="shared" ref="J22:J24" si="8">I22</f>
        <v>41.38389745677874</v>
      </c>
      <c r="K22" s="222">
        <f>J22*G22/100</f>
        <v>0.26496862056356796</v>
      </c>
      <c r="L22" s="223">
        <f t="shared" si="7"/>
        <v>40845600</v>
      </c>
      <c r="M22" s="244"/>
      <c r="O22" s="335">
        <v>28837641</v>
      </c>
    </row>
    <row r="23" spans="1:15" s="263" customFormat="1" ht="15" customHeight="1" x14ac:dyDescent="0.35">
      <c r="A23" s="241" t="s">
        <v>242</v>
      </c>
      <c r="B23" s="242"/>
      <c r="C23" s="243" t="s">
        <v>40</v>
      </c>
      <c r="D23" s="219">
        <f>11274200+8710300</f>
        <v>19984500</v>
      </c>
      <c r="E23" s="217">
        <v>0</v>
      </c>
      <c r="F23" s="217">
        <f t="shared" si="4"/>
        <v>19984500</v>
      </c>
      <c r="G23" s="220">
        <f t="shared" si="5"/>
        <v>0.18362338991780305</v>
      </c>
      <c r="H23" s="219">
        <v>8746200</v>
      </c>
      <c r="I23" s="220">
        <f t="shared" si="6"/>
        <v>43.764917811303761</v>
      </c>
      <c r="J23" s="221">
        <f t="shared" si="8"/>
        <v>43.764917811303761</v>
      </c>
      <c r="K23" s="222">
        <f>J23*G23/100</f>
        <v>8.0362625679856345E-2</v>
      </c>
      <c r="L23" s="223">
        <f t="shared" si="7"/>
        <v>11238300</v>
      </c>
      <c r="M23" s="244"/>
      <c r="O23" s="335">
        <v>8746200</v>
      </c>
    </row>
    <row r="24" spans="1:15" s="263" customFormat="1" ht="15" customHeight="1" x14ac:dyDescent="0.35">
      <c r="A24" s="241" t="s">
        <v>243</v>
      </c>
      <c r="B24" s="242"/>
      <c r="C24" s="243" t="s">
        <v>195</v>
      </c>
      <c r="D24" s="219">
        <f>81595000+22825000</f>
        <v>104420000</v>
      </c>
      <c r="E24" s="217">
        <v>0</v>
      </c>
      <c r="F24" s="217">
        <f t="shared" si="4"/>
        <v>104420000</v>
      </c>
      <c r="G24" s="220">
        <f t="shared" si="5"/>
        <v>0.95944128575731169</v>
      </c>
      <c r="H24" s="219">
        <v>36778558</v>
      </c>
      <c r="I24" s="220">
        <f t="shared" si="6"/>
        <v>35.221756368511784</v>
      </c>
      <c r="J24" s="221">
        <f t="shared" si="8"/>
        <v>35.221756368511784</v>
      </c>
      <c r="K24" s="222">
        <f>J24*G24/100</f>
        <v>0.33793207216835724</v>
      </c>
      <c r="L24" s="223">
        <f t="shared" si="7"/>
        <v>67641442</v>
      </c>
      <c r="M24" s="244"/>
      <c r="O24" s="335">
        <v>36778558</v>
      </c>
    </row>
    <row r="25" spans="1:15" s="263" customFormat="1" ht="15" customHeight="1" x14ac:dyDescent="0.35">
      <c r="A25" s="268"/>
      <c r="B25" s="242"/>
      <c r="C25" s="236"/>
      <c r="D25" s="217"/>
      <c r="E25" s="217"/>
      <c r="F25" s="218"/>
      <c r="G25" s="220"/>
      <c r="H25" s="219"/>
      <c r="I25" s="220"/>
      <c r="J25" s="221"/>
      <c r="K25" s="222"/>
      <c r="L25" s="223"/>
      <c r="M25" s="244"/>
      <c r="O25" s="335">
        <v>0</v>
      </c>
    </row>
    <row r="26" spans="1:15" s="263" customFormat="1" ht="30" customHeight="1" x14ac:dyDescent="0.35">
      <c r="A26" s="258" t="s">
        <v>281</v>
      </c>
      <c r="B26" s="259"/>
      <c r="C26" s="235" t="s">
        <v>282</v>
      </c>
      <c r="D26" s="229">
        <f>SUM(D27:D27)</f>
        <v>7826943</v>
      </c>
      <c r="E26" s="229"/>
      <c r="F26" s="229">
        <f>SUM(F27:F27)</f>
        <v>7826943</v>
      </c>
      <c r="G26" s="230"/>
      <c r="H26" s="231">
        <f>H27</f>
        <v>7770000</v>
      </c>
      <c r="I26" s="232"/>
      <c r="J26" s="231"/>
      <c r="K26" s="231"/>
      <c r="L26" s="230">
        <f>F26-H26</f>
        <v>56943</v>
      </c>
      <c r="M26" s="261"/>
      <c r="O26" s="335">
        <v>0</v>
      </c>
    </row>
    <row r="27" spans="1:15" s="263" customFormat="1" ht="15" customHeight="1" x14ac:dyDescent="0.35">
      <c r="A27" s="241" t="s">
        <v>283</v>
      </c>
      <c r="B27" s="242"/>
      <c r="C27" s="243" t="s">
        <v>284</v>
      </c>
      <c r="D27" s="217">
        <v>7826943</v>
      </c>
      <c r="E27" s="217">
        <v>0</v>
      </c>
      <c r="F27" s="217">
        <f t="shared" ref="F27" si="9">D27+E27</f>
        <v>7826943</v>
      </c>
      <c r="G27" s="220">
        <f>F27/$F$81*100</f>
        <v>7.1916225392350042E-2</v>
      </c>
      <c r="H27" s="219">
        <v>7770000</v>
      </c>
      <c r="I27" s="220">
        <f>H27/F27*100</f>
        <v>99.272474579155613</v>
      </c>
      <c r="J27" s="221">
        <f t="shared" ref="J27" si="10">I27</f>
        <v>99.272474579155613</v>
      </c>
      <c r="K27" s="222">
        <f>J27*G27/100</f>
        <v>7.1393016570908949E-2</v>
      </c>
      <c r="L27" s="223">
        <f>F27-H27</f>
        <v>56943</v>
      </c>
      <c r="M27" s="244"/>
      <c r="O27" s="335">
        <v>7770000</v>
      </c>
    </row>
    <row r="28" spans="1:15" s="263" customFormat="1" ht="15" customHeight="1" x14ac:dyDescent="0.35">
      <c r="A28" s="241"/>
      <c r="B28" s="262"/>
      <c r="C28" s="243"/>
      <c r="D28" s="217"/>
      <c r="E28" s="217"/>
      <c r="F28" s="218"/>
      <c r="G28" s="220"/>
      <c r="H28" s="219"/>
      <c r="I28" s="220"/>
      <c r="J28" s="221"/>
      <c r="K28" s="222"/>
      <c r="L28" s="223"/>
      <c r="M28" s="244"/>
      <c r="O28" s="335">
        <v>0</v>
      </c>
    </row>
    <row r="29" spans="1:15" s="263" customFormat="1" ht="30" customHeight="1" x14ac:dyDescent="0.35">
      <c r="A29" s="258" t="s">
        <v>244</v>
      </c>
      <c r="B29" s="259"/>
      <c r="C29" s="235" t="s">
        <v>201</v>
      </c>
      <c r="D29" s="229">
        <f>SUM(D30:D31)</f>
        <v>124316021</v>
      </c>
      <c r="E29" s="229"/>
      <c r="F29" s="229">
        <f>SUM(F30:F31)</f>
        <v>124316021</v>
      </c>
      <c r="G29" s="230"/>
      <c r="H29" s="231">
        <f>SUM(H30:H31)</f>
        <v>29600293</v>
      </c>
      <c r="I29" s="232"/>
      <c r="J29" s="231"/>
      <c r="K29" s="231"/>
      <c r="L29" s="230">
        <f>F29-H29</f>
        <v>94715728</v>
      </c>
      <c r="M29" s="261"/>
      <c r="O29" s="335">
        <v>0</v>
      </c>
    </row>
    <row r="30" spans="1:15" s="263" customFormat="1" ht="15" customHeight="1" x14ac:dyDescent="0.35">
      <c r="A30" s="241" t="s">
        <v>290</v>
      </c>
      <c r="B30" s="242"/>
      <c r="C30" s="243" t="s">
        <v>291</v>
      </c>
      <c r="D30" s="217">
        <v>2496600</v>
      </c>
      <c r="E30" s="217">
        <v>0</v>
      </c>
      <c r="F30" s="217">
        <f t="shared" ref="F30:F31" si="11">D30+E30</f>
        <v>2496600</v>
      </c>
      <c r="G30" s="220">
        <f t="shared" ref="G30:G31" si="12">F30/$F$81*100</f>
        <v>2.2939485864984718E-2</v>
      </c>
      <c r="H30" s="329">
        <v>592800</v>
      </c>
      <c r="I30" s="220">
        <f t="shared" ref="I30:I31" si="13">H30/F30*100</f>
        <v>23.74429223744292</v>
      </c>
      <c r="J30" s="221">
        <f t="shared" ref="J30:J31" si="14">I30</f>
        <v>23.74429223744292</v>
      </c>
      <c r="K30" s="222">
        <f>J30*G30/100</f>
        <v>5.4468185615488829E-3</v>
      </c>
      <c r="L30" s="223">
        <f>F30-H30</f>
        <v>1903800</v>
      </c>
      <c r="M30" s="244"/>
      <c r="O30" s="335">
        <v>592800</v>
      </c>
    </row>
    <row r="31" spans="1:15" s="263" customFormat="1" ht="15" customHeight="1" x14ac:dyDescent="0.35">
      <c r="A31" s="241" t="s">
        <v>245</v>
      </c>
      <c r="B31" s="242"/>
      <c r="C31" s="243" t="s">
        <v>202</v>
      </c>
      <c r="D31" s="217">
        <f>55651440+66167981</f>
        <v>121819421</v>
      </c>
      <c r="E31" s="217">
        <v>0</v>
      </c>
      <c r="F31" s="217">
        <f t="shared" si="11"/>
        <v>121819421</v>
      </c>
      <c r="G31" s="220">
        <f t="shared" si="12"/>
        <v>1.1193122190619733</v>
      </c>
      <c r="H31" s="323">
        <v>29007493</v>
      </c>
      <c r="I31" s="220">
        <f t="shared" si="13"/>
        <v>23.811878895730427</v>
      </c>
      <c r="J31" s="221">
        <f t="shared" si="14"/>
        <v>23.811878895730427</v>
      </c>
      <c r="K31" s="222">
        <f>J31*G31/100</f>
        <v>0.26652927006814997</v>
      </c>
      <c r="L31" s="223">
        <f>F31-H31</f>
        <v>92811928</v>
      </c>
      <c r="M31" s="244"/>
      <c r="O31" s="335">
        <v>29007493</v>
      </c>
    </row>
    <row r="32" spans="1:15" s="263" customFormat="1" ht="15" customHeight="1" x14ac:dyDescent="0.35">
      <c r="A32" s="241"/>
      <c r="B32" s="262"/>
      <c r="C32" s="243"/>
      <c r="D32" s="217"/>
      <c r="E32" s="217"/>
      <c r="F32" s="218"/>
      <c r="G32" s="220"/>
      <c r="H32" s="219"/>
      <c r="I32" s="220"/>
      <c r="J32" s="221"/>
      <c r="K32" s="222"/>
      <c r="L32" s="223"/>
      <c r="M32" s="244"/>
      <c r="O32" s="335">
        <v>0</v>
      </c>
    </row>
    <row r="33" spans="1:15" s="263" customFormat="1" ht="15" customHeight="1" x14ac:dyDescent="0.35">
      <c r="A33" s="258" t="s">
        <v>246</v>
      </c>
      <c r="B33" s="259"/>
      <c r="C33" s="235" t="s">
        <v>203</v>
      </c>
      <c r="D33" s="229">
        <f>SUM(D34:D36)</f>
        <v>163947400</v>
      </c>
      <c r="E33" s="229"/>
      <c r="F33" s="229">
        <f>SUM(F34:F36)</f>
        <v>163947400</v>
      </c>
      <c r="G33" s="230"/>
      <c r="H33" s="231">
        <f>SUM(H34:H36)</f>
        <v>21450000</v>
      </c>
      <c r="I33" s="232"/>
      <c r="J33" s="231"/>
      <c r="K33" s="231"/>
      <c r="L33" s="230">
        <f>F33-H33</f>
        <v>142497400</v>
      </c>
      <c r="M33" s="261"/>
      <c r="O33" s="335">
        <v>0</v>
      </c>
    </row>
    <row r="34" spans="1:15" s="263" customFormat="1" ht="15" customHeight="1" x14ac:dyDescent="0.35">
      <c r="A34" s="241" t="s">
        <v>247</v>
      </c>
      <c r="B34" s="242"/>
      <c r="C34" s="243" t="s">
        <v>311</v>
      </c>
      <c r="D34" s="217">
        <v>8210000</v>
      </c>
      <c r="E34" s="217">
        <v>0</v>
      </c>
      <c r="F34" s="217">
        <f>D34+E34</f>
        <v>8210000</v>
      </c>
      <c r="G34" s="220">
        <f t="shared" ref="G34:G36" si="15">F34/$F$81*100</f>
        <v>7.5435864356134155E-2</v>
      </c>
      <c r="H34" s="219">
        <v>3050000</v>
      </c>
      <c r="I34" s="220">
        <f t="shared" ref="I34:I36" si="16">H34/F34*100</f>
        <v>37.149817295980512</v>
      </c>
      <c r="J34" s="221">
        <f t="shared" ref="J34" si="17">I34</f>
        <v>37.149817295980512</v>
      </c>
      <c r="K34" s="222">
        <f>J34*G34/100</f>
        <v>2.8024285783947524E-2</v>
      </c>
      <c r="L34" s="223">
        <f t="shared" ref="L34:L36" si="18">F34-H34</f>
        <v>5160000</v>
      </c>
      <c r="M34" s="244"/>
      <c r="O34" s="335">
        <v>3050000</v>
      </c>
    </row>
    <row r="35" spans="1:15" s="263" customFormat="1" ht="30" customHeight="1" x14ac:dyDescent="0.35">
      <c r="A35" s="241" t="s">
        <v>247</v>
      </c>
      <c r="B35" s="242"/>
      <c r="C35" s="243" t="s">
        <v>308</v>
      </c>
      <c r="D35" s="217">
        <v>137843600</v>
      </c>
      <c r="E35" s="217">
        <v>0</v>
      </c>
      <c r="F35" s="217">
        <f>D35+E35</f>
        <v>137843600</v>
      </c>
      <c r="G35" s="220">
        <f t="shared" si="15"/>
        <v>1.2665470294715244</v>
      </c>
      <c r="H35" s="330">
        <v>18400000</v>
      </c>
      <c r="I35" s="220">
        <f t="shared" si="16"/>
        <v>13.348461589801774</v>
      </c>
      <c r="J35" s="221">
        <f t="shared" ref="J35:J36" si="19">I35</f>
        <v>13.348461589801774</v>
      </c>
      <c r="K35" s="222">
        <f>J35*G35/100</f>
        <v>0.16906454374578178</v>
      </c>
      <c r="L35" s="223">
        <f t="shared" si="18"/>
        <v>119443600</v>
      </c>
      <c r="M35" s="244"/>
      <c r="O35" s="335">
        <v>18400000</v>
      </c>
    </row>
    <row r="36" spans="1:15" s="263" customFormat="1" ht="30" customHeight="1" x14ac:dyDescent="0.35">
      <c r="A36" s="241" t="s">
        <v>248</v>
      </c>
      <c r="B36" s="242"/>
      <c r="C36" s="243" t="s">
        <v>285</v>
      </c>
      <c r="D36" s="217">
        <f>1220000+16673800</f>
        <v>17893800</v>
      </c>
      <c r="E36" s="217">
        <v>0</v>
      </c>
      <c r="F36" s="217">
        <f>D36+E36</f>
        <v>17893800</v>
      </c>
      <c r="G36" s="220">
        <f t="shared" si="15"/>
        <v>0.16441343113468859</v>
      </c>
      <c r="H36" s="219">
        <v>0</v>
      </c>
      <c r="I36" s="220">
        <f t="shared" si="16"/>
        <v>0</v>
      </c>
      <c r="J36" s="221">
        <f t="shared" si="19"/>
        <v>0</v>
      </c>
      <c r="K36" s="222">
        <f>J36*G36/100</f>
        <v>0</v>
      </c>
      <c r="L36" s="223">
        <f t="shared" si="18"/>
        <v>17893800</v>
      </c>
      <c r="M36" s="244"/>
      <c r="O36" s="335">
        <v>0</v>
      </c>
    </row>
    <row r="37" spans="1:15" s="263" customFormat="1" ht="15" customHeight="1" x14ac:dyDescent="0.35">
      <c r="A37" s="241"/>
      <c r="B37" s="262"/>
      <c r="C37" s="243"/>
      <c r="D37" s="217"/>
      <c r="E37" s="217"/>
      <c r="F37" s="218"/>
      <c r="G37" s="220"/>
      <c r="H37" s="219"/>
      <c r="I37" s="220"/>
      <c r="J37" s="221"/>
      <c r="K37" s="222"/>
      <c r="L37" s="223"/>
      <c r="M37" s="244"/>
      <c r="O37" s="335">
        <v>0</v>
      </c>
    </row>
    <row r="38" spans="1:15" s="263" customFormat="1" ht="30" customHeight="1" x14ac:dyDescent="0.35">
      <c r="A38" s="255" t="s">
        <v>263</v>
      </c>
      <c r="B38" s="256"/>
      <c r="C38" s="234" t="s">
        <v>264</v>
      </c>
      <c r="D38" s="225">
        <f>SUM(D39,D43)</f>
        <v>403120000</v>
      </c>
      <c r="E38" s="225"/>
      <c r="F38" s="225">
        <f>SUM(F39,F43)</f>
        <v>403120000</v>
      </c>
      <c r="G38" s="226"/>
      <c r="H38" s="227">
        <f>H39+H43</f>
        <v>52400000</v>
      </c>
      <c r="I38" s="228"/>
      <c r="J38" s="227"/>
      <c r="K38" s="227"/>
      <c r="L38" s="226">
        <f>F38-H38</f>
        <v>350720000</v>
      </c>
      <c r="M38" s="257"/>
      <c r="O38" s="335">
        <v>0</v>
      </c>
    </row>
    <row r="39" spans="1:15" s="263" customFormat="1" ht="30" customHeight="1" x14ac:dyDescent="0.35">
      <c r="A39" s="258" t="s">
        <v>258</v>
      </c>
      <c r="B39" s="259"/>
      <c r="C39" s="235" t="s">
        <v>205</v>
      </c>
      <c r="D39" s="229">
        <f>SUM(D40,D41)</f>
        <v>303720000</v>
      </c>
      <c r="E39" s="229"/>
      <c r="F39" s="229">
        <f>SUM(F40,F41)</f>
        <v>303720000</v>
      </c>
      <c r="G39" s="230"/>
      <c r="H39" s="231">
        <f>SUM(H40:H41)</f>
        <v>43000000</v>
      </c>
      <c r="I39" s="232"/>
      <c r="J39" s="231"/>
      <c r="K39" s="231"/>
      <c r="L39" s="230">
        <f>F39-H39</f>
        <v>260720000</v>
      </c>
      <c r="M39" s="260"/>
      <c r="O39" s="335">
        <v>0</v>
      </c>
    </row>
    <row r="40" spans="1:15" s="263" customFormat="1" ht="30" customHeight="1" x14ac:dyDescent="0.35">
      <c r="A40" s="241" t="s">
        <v>274</v>
      </c>
      <c r="B40" s="262"/>
      <c r="C40" s="236" t="s">
        <v>206</v>
      </c>
      <c r="D40" s="217">
        <v>207120000</v>
      </c>
      <c r="E40" s="217">
        <v>0</v>
      </c>
      <c r="F40" s="217">
        <f>D40+E40</f>
        <v>207120000</v>
      </c>
      <c r="G40" s="220">
        <f t="shared" ref="G40:G41" si="20">F40/$F$81*100</f>
        <v>1.903078711990561</v>
      </c>
      <c r="H40" s="219">
        <v>29200000</v>
      </c>
      <c r="I40" s="220">
        <f t="shared" ref="I40:I41" si="21">H40/F40*100</f>
        <v>14.098107377365778</v>
      </c>
      <c r="J40" s="221">
        <f t="shared" ref="J40:J41" si="22">I40</f>
        <v>14.098107377365778</v>
      </c>
      <c r="K40" s="222">
        <f>J40*G40/100</f>
        <v>0.26829808029221891</v>
      </c>
      <c r="L40" s="223">
        <f t="shared" ref="L40:L41" si="23">F40-H40</f>
        <v>177920000</v>
      </c>
      <c r="M40" s="244"/>
      <c r="O40" s="335">
        <v>29200000</v>
      </c>
    </row>
    <row r="41" spans="1:15" s="263" customFormat="1" ht="30" customHeight="1" x14ac:dyDescent="0.35">
      <c r="A41" s="241" t="s">
        <v>274</v>
      </c>
      <c r="B41" s="262"/>
      <c r="C41" s="236" t="s">
        <v>310</v>
      </c>
      <c r="D41" s="217">
        <v>96600000</v>
      </c>
      <c r="E41" s="217">
        <v>0</v>
      </c>
      <c r="F41" s="217">
        <f>D41+E41</f>
        <v>96600000</v>
      </c>
      <c r="G41" s="220">
        <f t="shared" si="20"/>
        <v>0.88758885466535442</v>
      </c>
      <c r="H41" s="219">
        <v>13800000</v>
      </c>
      <c r="I41" s="220">
        <f t="shared" si="21"/>
        <v>14.285714285714285</v>
      </c>
      <c r="J41" s="221">
        <f t="shared" si="22"/>
        <v>14.285714285714285</v>
      </c>
      <c r="K41" s="222">
        <f>J41*G41/100</f>
        <v>0.12679840780933632</v>
      </c>
      <c r="L41" s="223">
        <f t="shared" si="23"/>
        <v>82800000</v>
      </c>
      <c r="M41" s="244"/>
      <c r="O41" s="335">
        <v>13800000</v>
      </c>
    </row>
    <row r="42" spans="1:15" s="263" customFormat="1" ht="15" customHeight="1" x14ac:dyDescent="0.35">
      <c r="A42" s="241"/>
      <c r="B42" s="262"/>
      <c r="C42" s="236"/>
      <c r="D42" s="217"/>
      <c r="E42" s="217"/>
      <c r="F42" s="218"/>
      <c r="G42" s="220"/>
      <c r="H42" s="219"/>
      <c r="I42" s="220"/>
      <c r="J42" s="221"/>
      <c r="K42" s="222"/>
      <c r="L42" s="223"/>
      <c r="M42" s="244"/>
      <c r="O42" s="335">
        <v>0</v>
      </c>
    </row>
    <row r="43" spans="1:15" s="263" customFormat="1" ht="30" customHeight="1" x14ac:dyDescent="0.35">
      <c r="A43" s="258" t="s">
        <v>259</v>
      </c>
      <c r="B43" s="259"/>
      <c r="C43" s="235" t="s">
        <v>207</v>
      </c>
      <c r="D43" s="229">
        <f>SUM(D44:D44)</f>
        <v>99400000</v>
      </c>
      <c r="E43" s="229"/>
      <c r="F43" s="229">
        <f>SUM(F44:F44)</f>
        <v>99400000</v>
      </c>
      <c r="G43" s="230"/>
      <c r="H43" s="231">
        <f>H44</f>
        <v>9400000</v>
      </c>
      <c r="I43" s="232"/>
      <c r="J43" s="231"/>
      <c r="K43" s="231"/>
      <c r="L43" s="230">
        <f>F43-H43</f>
        <v>90000000</v>
      </c>
      <c r="M43" s="260"/>
      <c r="O43" s="335">
        <v>9400000</v>
      </c>
    </row>
    <row r="44" spans="1:15" s="263" customFormat="1" ht="30" customHeight="1" x14ac:dyDescent="0.35">
      <c r="A44" s="241" t="s">
        <v>260</v>
      </c>
      <c r="B44" s="262"/>
      <c r="C44" s="236" t="s">
        <v>208</v>
      </c>
      <c r="D44" s="217">
        <v>99400000</v>
      </c>
      <c r="E44" s="217">
        <v>0</v>
      </c>
      <c r="F44" s="217">
        <f>D44+E44</f>
        <v>99400000</v>
      </c>
      <c r="G44" s="220">
        <f>F44/$F$81*100</f>
        <v>0.91331606784406039</v>
      </c>
      <c r="H44" s="219">
        <v>9400000</v>
      </c>
      <c r="I44" s="220">
        <f>H44/F44*100</f>
        <v>9.4567404426559349</v>
      </c>
      <c r="J44" s="221">
        <f t="shared" ref="J44" si="24">I44</f>
        <v>9.4567404426559349</v>
      </c>
      <c r="K44" s="222">
        <f>J44*G44/100</f>
        <v>8.6369929957084188E-2</v>
      </c>
      <c r="L44" s="223">
        <f>F44-H44</f>
        <v>90000000</v>
      </c>
      <c r="M44" s="244"/>
      <c r="O44" s="335">
        <v>0</v>
      </c>
    </row>
    <row r="45" spans="1:15" s="263" customFormat="1" ht="15" customHeight="1" x14ac:dyDescent="0.35">
      <c r="A45" s="241"/>
      <c r="B45" s="262"/>
      <c r="C45" s="236"/>
      <c r="D45" s="217"/>
      <c r="E45" s="217"/>
      <c r="F45" s="218"/>
      <c r="G45" s="220"/>
      <c r="H45" s="219"/>
      <c r="I45" s="220"/>
      <c r="J45" s="221"/>
      <c r="K45" s="222"/>
      <c r="L45" s="223"/>
      <c r="M45" s="244"/>
      <c r="O45" s="335">
        <v>0</v>
      </c>
    </row>
    <row r="46" spans="1:15" s="263" customFormat="1" ht="30" customHeight="1" x14ac:dyDescent="0.35">
      <c r="A46" s="255" t="s">
        <v>265</v>
      </c>
      <c r="B46" s="256"/>
      <c r="C46" s="234" t="s">
        <v>266</v>
      </c>
      <c r="D46" s="225">
        <f>SUM(D47,D51,D55)</f>
        <v>4198235674</v>
      </c>
      <c r="E46" s="225"/>
      <c r="F46" s="225">
        <f>SUM(F47,F51,F55)</f>
        <v>4198235674</v>
      </c>
      <c r="G46" s="226"/>
      <c r="H46" s="227">
        <f>H47+H51+H55</f>
        <v>176871000</v>
      </c>
      <c r="I46" s="228"/>
      <c r="J46" s="227"/>
      <c r="K46" s="227"/>
      <c r="L46" s="226">
        <f>F46-H46</f>
        <v>4021364674</v>
      </c>
      <c r="M46" s="257"/>
      <c r="O46" s="335">
        <v>0</v>
      </c>
    </row>
    <row r="47" spans="1:15" s="263" customFormat="1" ht="15" customHeight="1" x14ac:dyDescent="0.35">
      <c r="A47" s="258" t="s">
        <v>228</v>
      </c>
      <c r="B47" s="259"/>
      <c r="C47" s="235" t="s">
        <v>209</v>
      </c>
      <c r="D47" s="229">
        <f>SUM(D48:D49)</f>
        <v>266112500</v>
      </c>
      <c r="E47" s="229"/>
      <c r="F47" s="229">
        <f>SUM(F48:F49)</f>
        <v>266112500</v>
      </c>
      <c r="G47" s="230"/>
      <c r="H47" s="231">
        <f>SUM(H48:H49)</f>
        <v>29271000</v>
      </c>
      <c r="I47" s="232"/>
      <c r="J47" s="231"/>
      <c r="K47" s="231"/>
      <c r="L47" s="230">
        <f>F47-H47</f>
        <v>236841500</v>
      </c>
      <c r="M47" s="260"/>
      <c r="O47" s="335">
        <v>15770000</v>
      </c>
    </row>
    <row r="48" spans="1:15" s="263" customFormat="1" ht="30" customHeight="1" x14ac:dyDescent="0.35">
      <c r="A48" s="241" t="s">
        <v>229</v>
      </c>
      <c r="B48" s="262"/>
      <c r="C48" s="236" t="s">
        <v>210</v>
      </c>
      <c r="D48" s="217">
        <f>19827000+71690000</f>
        <v>91517000</v>
      </c>
      <c r="E48" s="217">
        <v>0</v>
      </c>
      <c r="F48" s="217">
        <f>D48+E48</f>
        <v>91517000</v>
      </c>
      <c r="G48" s="220">
        <f t="shared" ref="G48:G49" si="25">F48/$F$81*100</f>
        <v>0.84088477445558218</v>
      </c>
      <c r="H48" s="219">
        <v>15770000</v>
      </c>
      <c r="I48" s="220">
        <f t="shared" ref="I48:I49" si="26">H48/F48*100</f>
        <v>17.231771146344396</v>
      </c>
      <c r="J48" s="221">
        <f t="shared" ref="J48:J49" si="27">I48</f>
        <v>17.231771146344396</v>
      </c>
      <c r="K48" s="222">
        <f>J48*G48/100</f>
        <v>0.14489933993864015</v>
      </c>
      <c r="L48" s="223">
        <f t="shared" ref="L48:L49" si="28">F48-H48</f>
        <v>75747000</v>
      </c>
      <c r="M48" s="244"/>
      <c r="O48" s="335">
        <v>13501000</v>
      </c>
    </row>
    <row r="49" spans="1:15" s="263" customFormat="1" ht="30" customHeight="1" x14ac:dyDescent="0.35">
      <c r="A49" s="241" t="s">
        <v>230</v>
      </c>
      <c r="B49" s="262"/>
      <c r="C49" s="236" t="s">
        <v>211</v>
      </c>
      <c r="D49" s="217">
        <v>174595500</v>
      </c>
      <c r="E49" s="217">
        <v>0</v>
      </c>
      <c r="F49" s="217">
        <f>D49+E49</f>
        <v>174595500</v>
      </c>
      <c r="G49" s="220">
        <f t="shared" si="25"/>
        <v>1.6042341601938392</v>
      </c>
      <c r="H49" s="219">
        <v>13501000</v>
      </c>
      <c r="I49" s="220">
        <f t="shared" si="26"/>
        <v>7.7327307977582471</v>
      </c>
      <c r="J49" s="221">
        <f t="shared" si="27"/>
        <v>7.7327307977582471</v>
      </c>
      <c r="K49" s="222">
        <f>J49*G49/100</f>
        <v>0.12405110897346738</v>
      </c>
      <c r="L49" s="223">
        <f t="shared" si="28"/>
        <v>161094500</v>
      </c>
      <c r="M49" s="244"/>
      <c r="O49" s="335">
        <v>0</v>
      </c>
    </row>
    <row r="50" spans="1:15" s="263" customFormat="1" ht="15" customHeight="1" x14ac:dyDescent="0.35">
      <c r="A50" s="241"/>
      <c r="B50" s="262"/>
      <c r="C50" s="236"/>
      <c r="D50" s="217"/>
      <c r="E50" s="217"/>
      <c r="F50" s="217"/>
      <c r="G50" s="220"/>
      <c r="H50" s="219"/>
      <c r="I50" s="220"/>
      <c r="J50" s="221"/>
      <c r="K50" s="222"/>
      <c r="L50" s="223"/>
      <c r="M50" s="244"/>
      <c r="O50" s="335">
        <v>0</v>
      </c>
    </row>
    <row r="51" spans="1:15" s="263" customFormat="1" ht="15" customHeight="1" x14ac:dyDescent="0.35">
      <c r="A51" s="258" t="s">
        <v>275</v>
      </c>
      <c r="B51" s="259"/>
      <c r="C51" s="235" t="s">
        <v>276</v>
      </c>
      <c r="D51" s="229">
        <f>SUM(D52:D53)</f>
        <v>3695185994</v>
      </c>
      <c r="E51" s="229"/>
      <c r="F51" s="229">
        <f>SUM(F52:F53)</f>
        <v>3695185994</v>
      </c>
      <c r="G51" s="230"/>
      <c r="H51" s="231">
        <f>SUM(H52:H53)</f>
        <v>147600000</v>
      </c>
      <c r="I51" s="232"/>
      <c r="J51" s="231"/>
      <c r="K51" s="231"/>
      <c r="L51" s="230">
        <f>F51-H51</f>
        <v>3547585994</v>
      </c>
      <c r="M51" s="260"/>
      <c r="O51" s="335">
        <v>147600000</v>
      </c>
    </row>
    <row r="52" spans="1:15" s="263" customFormat="1" ht="15" customHeight="1" x14ac:dyDescent="0.35">
      <c r="A52" s="241" t="s">
        <v>279</v>
      </c>
      <c r="B52" s="262"/>
      <c r="C52" s="236" t="s">
        <v>280</v>
      </c>
      <c r="D52" s="217">
        <v>3684259994</v>
      </c>
      <c r="E52" s="217">
        <v>0</v>
      </c>
      <c r="F52" s="217">
        <f>D52+E52</f>
        <v>3684259994</v>
      </c>
      <c r="G52" s="220">
        <f t="shared" ref="G52:G53" si="29">F52/$F$81*100</f>
        <v>33.852050811219939</v>
      </c>
      <c r="H52" s="219">
        <v>147600000</v>
      </c>
      <c r="I52" s="220">
        <f t="shared" ref="I52:I53" si="30">H52/F52*100</f>
        <v>4.0062319228386132</v>
      </c>
      <c r="J52" s="221">
        <f t="shared" ref="J52:J53" si="31">I52</f>
        <v>4.0062319228386132</v>
      </c>
      <c r="K52" s="222">
        <f>J52*G52/100</f>
        <v>1.3561916661346409</v>
      </c>
      <c r="L52" s="223">
        <f t="shared" ref="L52:L53" si="32">F52-H52</f>
        <v>3536659994</v>
      </c>
      <c r="M52" s="244"/>
      <c r="O52" s="335">
        <v>0</v>
      </c>
    </row>
    <row r="53" spans="1:15" s="263" customFormat="1" ht="15" customHeight="1" x14ac:dyDescent="0.35">
      <c r="A53" s="241" t="s">
        <v>293</v>
      </c>
      <c r="B53" s="262"/>
      <c r="C53" s="236" t="s">
        <v>294</v>
      </c>
      <c r="D53" s="217">
        <v>10926000</v>
      </c>
      <c r="E53" s="217">
        <v>0</v>
      </c>
      <c r="F53" s="217">
        <f>D53+E53</f>
        <v>10926000</v>
      </c>
      <c r="G53" s="220">
        <f t="shared" si="29"/>
        <v>0.1003912611394789</v>
      </c>
      <c r="H53" s="219">
        <v>0</v>
      </c>
      <c r="I53" s="220">
        <f t="shared" si="30"/>
        <v>0</v>
      </c>
      <c r="J53" s="221">
        <f t="shared" si="31"/>
        <v>0</v>
      </c>
      <c r="K53" s="222">
        <f>J53*G53/100</f>
        <v>0</v>
      </c>
      <c r="L53" s="223">
        <f t="shared" si="32"/>
        <v>10926000</v>
      </c>
      <c r="M53" s="244"/>
      <c r="O53" s="335">
        <v>0</v>
      </c>
    </row>
    <row r="54" spans="1:15" s="263" customFormat="1" ht="15" customHeight="1" x14ac:dyDescent="0.35">
      <c r="A54" s="241"/>
      <c r="B54" s="262"/>
      <c r="C54" s="236"/>
      <c r="D54" s="217"/>
      <c r="E54" s="217"/>
      <c r="F54" s="217"/>
      <c r="G54" s="220"/>
      <c r="H54" s="219"/>
      <c r="I54" s="220"/>
      <c r="J54" s="221"/>
      <c r="K54" s="222"/>
      <c r="L54" s="223"/>
      <c r="M54" s="244"/>
      <c r="O54" s="335">
        <v>0</v>
      </c>
    </row>
    <row r="55" spans="1:15" s="263" customFormat="1" ht="30" customHeight="1" x14ac:dyDescent="0.35">
      <c r="A55" s="258" t="s">
        <v>322</v>
      </c>
      <c r="B55" s="259"/>
      <c r="C55" s="235" t="s">
        <v>323</v>
      </c>
      <c r="D55" s="229">
        <f>SUM(D56:D57)</f>
        <v>236937180</v>
      </c>
      <c r="E55" s="229">
        <f>SUM(E56:E57)</f>
        <v>0</v>
      </c>
      <c r="F55" s="229">
        <f>SUM(F56:F57)</f>
        <v>236937180</v>
      </c>
      <c r="G55" s="230"/>
      <c r="H55" s="231">
        <f>SUM(H56:H57)</f>
        <v>0</v>
      </c>
      <c r="I55" s="232"/>
      <c r="J55" s="231"/>
      <c r="K55" s="231"/>
      <c r="L55" s="230">
        <f>F55-H55</f>
        <v>236937180</v>
      </c>
      <c r="M55" s="260"/>
      <c r="O55" s="335">
        <v>0</v>
      </c>
    </row>
    <row r="56" spans="1:15" s="263" customFormat="1" ht="30" customHeight="1" x14ac:dyDescent="0.35">
      <c r="A56" s="241" t="s">
        <v>324</v>
      </c>
      <c r="B56" s="262"/>
      <c r="C56" s="236" t="s">
        <v>326</v>
      </c>
      <c r="D56" s="217">
        <v>16950000</v>
      </c>
      <c r="E56" s="217">
        <v>0</v>
      </c>
      <c r="F56" s="217">
        <f t="shared" ref="F56:F57" si="33">D56+E56</f>
        <v>16950000</v>
      </c>
      <c r="G56" s="220">
        <f>F56/$F$81*100</f>
        <v>0.15574152263538052</v>
      </c>
      <c r="H56" s="219">
        <v>0</v>
      </c>
      <c r="I56" s="220">
        <f t="shared" ref="I56:I57" si="34">H56/F56*100</f>
        <v>0</v>
      </c>
      <c r="J56" s="221">
        <f t="shared" ref="J56:J57" si="35">I56</f>
        <v>0</v>
      </c>
      <c r="K56" s="222">
        <f>J56*G56/100</f>
        <v>0</v>
      </c>
      <c r="L56" s="223">
        <f t="shared" ref="L56:L57" si="36">F56-H56</f>
        <v>16950000</v>
      </c>
      <c r="M56" s="244"/>
      <c r="O56" s="335">
        <v>0</v>
      </c>
    </row>
    <row r="57" spans="1:15" s="263" customFormat="1" ht="45" customHeight="1" x14ac:dyDescent="0.35">
      <c r="A57" s="241" t="s">
        <v>325</v>
      </c>
      <c r="B57" s="262"/>
      <c r="C57" s="236" t="s">
        <v>327</v>
      </c>
      <c r="D57" s="217">
        <v>219987180</v>
      </c>
      <c r="E57" s="217">
        <v>0</v>
      </c>
      <c r="F57" s="217">
        <f t="shared" si="33"/>
        <v>219987180</v>
      </c>
      <c r="G57" s="220">
        <f>F57/$F$81*100</f>
        <v>2.0213060987294118</v>
      </c>
      <c r="H57" s="219">
        <v>0</v>
      </c>
      <c r="I57" s="220">
        <f t="shared" si="34"/>
        <v>0</v>
      </c>
      <c r="J57" s="221">
        <f t="shared" si="35"/>
        <v>0</v>
      </c>
      <c r="K57" s="222">
        <f>J57*G57/100</f>
        <v>0</v>
      </c>
      <c r="L57" s="223">
        <f t="shared" si="36"/>
        <v>219987180</v>
      </c>
      <c r="M57" s="244"/>
      <c r="O57" s="335">
        <v>0</v>
      </c>
    </row>
    <row r="58" spans="1:15" s="263" customFormat="1" ht="15" customHeight="1" x14ac:dyDescent="0.35">
      <c r="A58" s="241"/>
      <c r="B58" s="262"/>
      <c r="C58" s="236"/>
      <c r="D58" s="217"/>
      <c r="E58" s="217"/>
      <c r="F58" s="218"/>
      <c r="G58" s="220"/>
      <c r="H58" s="219"/>
      <c r="I58" s="220"/>
      <c r="J58" s="221"/>
      <c r="K58" s="222"/>
      <c r="L58" s="223"/>
      <c r="M58" s="244"/>
      <c r="O58" s="335">
        <v>0</v>
      </c>
    </row>
    <row r="59" spans="1:15" s="263" customFormat="1" ht="30" customHeight="1" x14ac:dyDescent="0.35">
      <c r="A59" s="255" t="s">
        <v>267</v>
      </c>
      <c r="B59" s="256"/>
      <c r="C59" s="234" t="s">
        <v>268</v>
      </c>
      <c r="D59" s="225">
        <f>SUM(D60,D64,)</f>
        <v>297460000</v>
      </c>
      <c r="E59" s="225"/>
      <c r="F59" s="225">
        <f>SUM(F60,F64,)</f>
        <v>297460000</v>
      </c>
      <c r="G59" s="226"/>
      <c r="H59" s="227">
        <f>H60+H64</f>
        <v>41690000</v>
      </c>
      <c r="I59" s="228"/>
      <c r="J59" s="227"/>
      <c r="K59" s="227"/>
      <c r="L59" s="226">
        <f>F59-H59</f>
        <v>255770000</v>
      </c>
      <c r="M59" s="257"/>
      <c r="O59" s="335">
        <v>0</v>
      </c>
    </row>
    <row r="60" spans="1:15" s="263" customFormat="1" ht="30" customHeight="1" x14ac:dyDescent="0.35">
      <c r="A60" s="258" t="s">
        <v>250</v>
      </c>
      <c r="B60" s="259"/>
      <c r="C60" s="235" t="s">
        <v>212</v>
      </c>
      <c r="D60" s="229">
        <f>SUM(D61:D62)</f>
        <v>23860000</v>
      </c>
      <c r="E60" s="229"/>
      <c r="F60" s="229">
        <f>SUM(F61:F62)</f>
        <v>23860000</v>
      </c>
      <c r="G60" s="230"/>
      <c r="H60" s="231">
        <f>SUM(H61:H61)</f>
        <v>0</v>
      </c>
      <c r="I60" s="232"/>
      <c r="J60" s="231"/>
      <c r="K60" s="231"/>
      <c r="L60" s="230">
        <f>F60-H60</f>
        <v>23860000</v>
      </c>
      <c r="M60" s="260"/>
      <c r="O60" s="335">
        <v>41690000</v>
      </c>
    </row>
    <row r="61" spans="1:15" s="263" customFormat="1" ht="45" customHeight="1" x14ac:dyDescent="0.35">
      <c r="A61" s="241" t="s">
        <v>252</v>
      </c>
      <c r="B61" s="262"/>
      <c r="C61" s="236" t="s">
        <v>286</v>
      </c>
      <c r="D61" s="217">
        <v>12660000</v>
      </c>
      <c r="E61" s="217">
        <v>0</v>
      </c>
      <c r="F61" s="217">
        <f>D61+E61</f>
        <v>12660000</v>
      </c>
      <c r="G61" s="220">
        <f>F61/$F$81*100</f>
        <v>0.11632375672943464</v>
      </c>
      <c r="H61" s="219">
        <v>0</v>
      </c>
      <c r="I61" s="220">
        <f>H61/F61*100</f>
        <v>0</v>
      </c>
      <c r="J61" s="221">
        <f t="shared" ref="J61:J62" si="37">I61</f>
        <v>0</v>
      </c>
      <c r="K61" s="222">
        <f>J61*G61/100</f>
        <v>0</v>
      </c>
      <c r="L61" s="223">
        <f>F61-H61</f>
        <v>12660000</v>
      </c>
      <c r="M61" s="244"/>
      <c r="O61" s="335">
        <v>0</v>
      </c>
    </row>
    <row r="62" spans="1:15" s="263" customFormat="1" ht="30" customHeight="1" x14ac:dyDescent="0.35">
      <c r="A62" s="241" t="s">
        <v>328</v>
      </c>
      <c r="B62" s="262"/>
      <c r="C62" s="236" t="s">
        <v>213</v>
      </c>
      <c r="D62" s="217">
        <v>11200000</v>
      </c>
      <c r="E62" s="217">
        <v>0</v>
      </c>
      <c r="F62" s="217">
        <f t="shared" ref="F62" si="38">D62</f>
        <v>11200000</v>
      </c>
      <c r="G62" s="220">
        <f>F62/$F$81*100</f>
        <v>0.1029088527148237</v>
      </c>
      <c r="H62" s="219">
        <v>0</v>
      </c>
      <c r="I62" s="220">
        <f>H62/F62*100</f>
        <v>0</v>
      </c>
      <c r="J62" s="221">
        <f t="shared" si="37"/>
        <v>0</v>
      </c>
      <c r="K62" s="222">
        <f>J62*G62/100</f>
        <v>0</v>
      </c>
      <c r="L62" s="223">
        <f>F62-H62</f>
        <v>11200000</v>
      </c>
      <c r="M62" s="244"/>
      <c r="O62" s="335">
        <v>0</v>
      </c>
    </row>
    <row r="63" spans="1:15" s="263" customFormat="1" ht="15" customHeight="1" x14ac:dyDescent="0.35">
      <c r="A63" s="241"/>
      <c r="B63" s="262"/>
      <c r="C63" s="236"/>
      <c r="D63" s="217"/>
      <c r="E63" s="217"/>
      <c r="F63" s="218"/>
      <c r="G63" s="220"/>
      <c r="H63" s="219"/>
      <c r="I63" s="220"/>
      <c r="J63" s="221"/>
      <c r="K63" s="222"/>
      <c r="L63" s="223"/>
      <c r="M63" s="244"/>
      <c r="O63" s="335">
        <v>0</v>
      </c>
    </row>
    <row r="64" spans="1:15" s="263" customFormat="1" ht="45" customHeight="1" x14ac:dyDescent="0.35">
      <c r="A64" s="258" t="s">
        <v>251</v>
      </c>
      <c r="B64" s="259"/>
      <c r="C64" s="235" t="s">
        <v>214</v>
      </c>
      <c r="D64" s="229">
        <f>SUM(D65)</f>
        <v>273600000</v>
      </c>
      <c r="E64" s="229"/>
      <c r="F64" s="229">
        <f>SUM(F65)</f>
        <v>273600000</v>
      </c>
      <c r="G64" s="230"/>
      <c r="H64" s="231">
        <f>H65</f>
        <v>41690000</v>
      </c>
      <c r="I64" s="232"/>
      <c r="J64" s="231"/>
      <c r="K64" s="231"/>
      <c r="L64" s="230">
        <f>F64-H64</f>
        <v>231910000</v>
      </c>
      <c r="M64" s="260"/>
      <c r="O64" s="335">
        <v>0</v>
      </c>
    </row>
    <row r="65" spans="1:15" s="263" customFormat="1" ht="45" customHeight="1" x14ac:dyDescent="0.35">
      <c r="A65" s="241" t="s">
        <v>249</v>
      </c>
      <c r="B65" s="262"/>
      <c r="C65" s="236" t="s">
        <v>215</v>
      </c>
      <c r="D65" s="217">
        <v>273600000</v>
      </c>
      <c r="E65" s="217">
        <v>0</v>
      </c>
      <c r="F65" s="217">
        <f>D65+E65</f>
        <v>273600000</v>
      </c>
      <c r="G65" s="220">
        <f>F65/$F$81*100</f>
        <v>2.5139162591764075</v>
      </c>
      <c r="H65" s="219">
        <v>41690000</v>
      </c>
      <c r="I65" s="220">
        <f>H65/F65*100</f>
        <v>15.237573099415206</v>
      </c>
      <c r="J65" s="221">
        <f t="shared" ref="J65" si="39">I65</f>
        <v>15.237573099415206</v>
      </c>
      <c r="K65" s="222">
        <f>J65*G65/100</f>
        <v>0.38305982765008934</v>
      </c>
      <c r="L65" s="223">
        <f>F65-H65</f>
        <v>231910000</v>
      </c>
      <c r="M65" s="244"/>
      <c r="O65" s="335">
        <v>0</v>
      </c>
    </row>
    <row r="66" spans="1:15" s="263" customFormat="1" ht="15" customHeight="1" x14ac:dyDescent="0.35">
      <c r="A66" s="241"/>
      <c r="B66" s="262"/>
      <c r="C66" s="236"/>
      <c r="D66" s="217"/>
      <c r="E66" s="217"/>
      <c r="F66" s="218"/>
      <c r="G66" s="220"/>
      <c r="H66" s="219"/>
      <c r="I66" s="220"/>
      <c r="J66" s="221"/>
      <c r="K66" s="222"/>
      <c r="L66" s="223"/>
      <c r="M66" s="244"/>
      <c r="O66" s="335">
        <v>0</v>
      </c>
    </row>
    <row r="67" spans="1:15" s="263" customFormat="1" ht="30" customHeight="1" x14ac:dyDescent="0.35">
      <c r="A67" s="255" t="s">
        <v>269</v>
      </c>
      <c r="B67" s="256"/>
      <c r="C67" s="234" t="s">
        <v>270</v>
      </c>
      <c r="D67" s="225">
        <f>SUM(D68)</f>
        <v>53410000</v>
      </c>
      <c r="E67" s="225"/>
      <c r="F67" s="225">
        <f>SUM(F68:F68)</f>
        <v>53410000</v>
      </c>
      <c r="G67" s="226"/>
      <c r="H67" s="227">
        <f>H68</f>
        <v>0</v>
      </c>
      <c r="I67" s="228"/>
      <c r="J67" s="227"/>
      <c r="K67" s="227"/>
      <c r="L67" s="226">
        <f>F67-H67</f>
        <v>53410000</v>
      </c>
      <c r="M67" s="257"/>
      <c r="O67" s="335">
        <v>0</v>
      </c>
    </row>
    <row r="68" spans="1:15" s="263" customFormat="1" ht="30" customHeight="1" x14ac:dyDescent="0.35">
      <c r="A68" s="258" t="s">
        <v>254</v>
      </c>
      <c r="B68" s="259"/>
      <c r="C68" s="235" t="s">
        <v>253</v>
      </c>
      <c r="D68" s="229">
        <f>SUM(D69:D71)</f>
        <v>53410000</v>
      </c>
      <c r="E68" s="229"/>
      <c r="F68" s="229">
        <f>SUM(F69:F71)</f>
        <v>53410000</v>
      </c>
      <c r="G68" s="230"/>
      <c r="H68" s="231">
        <f>SUM(H69:H71)</f>
        <v>0</v>
      </c>
      <c r="I68" s="232"/>
      <c r="J68" s="231"/>
      <c r="K68" s="231"/>
      <c r="L68" s="230">
        <f>F68-H68</f>
        <v>53410000</v>
      </c>
      <c r="M68" s="260"/>
      <c r="O68" s="335">
        <v>0</v>
      </c>
    </row>
    <row r="69" spans="1:15" s="263" customFormat="1" ht="81" customHeight="1" x14ac:dyDescent="0.35">
      <c r="A69" s="241" t="s">
        <v>255</v>
      </c>
      <c r="B69" s="262"/>
      <c r="C69" s="236" t="s">
        <v>216</v>
      </c>
      <c r="D69" s="217">
        <v>22610000</v>
      </c>
      <c r="E69" s="217">
        <v>0</v>
      </c>
      <c r="F69" s="217">
        <f>D69+E69</f>
        <v>22610000</v>
      </c>
      <c r="G69" s="220">
        <f>F69/$F$81*100</f>
        <v>0.20774724641805034</v>
      </c>
      <c r="H69" s="219">
        <v>0</v>
      </c>
      <c r="I69" s="220">
        <f t="shared" ref="I69:I71" si="40">H69/F69*100</f>
        <v>0</v>
      </c>
      <c r="J69" s="221">
        <f t="shared" ref="J69:J71" si="41">I69</f>
        <v>0</v>
      </c>
      <c r="K69" s="222">
        <f>J69*G69/100</f>
        <v>0</v>
      </c>
      <c r="L69" s="223">
        <f t="shared" ref="L69:L71" si="42">F69-H69</f>
        <v>22610000</v>
      </c>
      <c r="M69" s="244"/>
      <c r="O69" s="335">
        <v>0</v>
      </c>
    </row>
    <row r="70" spans="1:15" s="263" customFormat="1" ht="45" customHeight="1" x14ac:dyDescent="0.35">
      <c r="A70" s="241" t="s">
        <v>256</v>
      </c>
      <c r="B70" s="262"/>
      <c r="C70" s="236" t="s">
        <v>217</v>
      </c>
      <c r="D70" s="217">
        <v>16740000</v>
      </c>
      <c r="E70" s="217">
        <v>0</v>
      </c>
      <c r="F70" s="217">
        <f t="shared" ref="F70:F71" si="43">D70+E70</f>
        <v>16740000</v>
      </c>
      <c r="G70" s="220">
        <f t="shared" ref="G70:G71" si="44">F70/$F$81*100</f>
        <v>0.15381198164697757</v>
      </c>
      <c r="H70" s="219">
        <v>0</v>
      </c>
      <c r="I70" s="220">
        <f t="shared" si="40"/>
        <v>0</v>
      </c>
      <c r="J70" s="221">
        <f t="shared" si="41"/>
        <v>0</v>
      </c>
      <c r="K70" s="222">
        <f>J70*G70/100</f>
        <v>0</v>
      </c>
      <c r="L70" s="223">
        <f t="shared" si="42"/>
        <v>16740000</v>
      </c>
      <c r="M70" s="244"/>
      <c r="O70" s="335">
        <v>0</v>
      </c>
    </row>
    <row r="71" spans="1:15" s="263" customFormat="1" ht="45" customHeight="1" x14ac:dyDescent="0.35">
      <c r="A71" s="241" t="s">
        <v>257</v>
      </c>
      <c r="B71" s="262"/>
      <c r="C71" s="236" t="s">
        <v>218</v>
      </c>
      <c r="D71" s="217">
        <v>14060000</v>
      </c>
      <c r="E71" s="217">
        <v>0</v>
      </c>
      <c r="F71" s="217">
        <f t="shared" si="43"/>
        <v>14060000</v>
      </c>
      <c r="G71" s="220">
        <f t="shared" si="44"/>
        <v>0.12918736331878761</v>
      </c>
      <c r="H71" s="219">
        <v>0</v>
      </c>
      <c r="I71" s="220">
        <f t="shared" si="40"/>
        <v>0</v>
      </c>
      <c r="J71" s="221">
        <f t="shared" si="41"/>
        <v>0</v>
      </c>
      <c r="K71" s="222">
        <f>J71*G71/100</f>
        <v>0</v>
      </c>
      <c r="L71" s="223">
        <f t="shared" si="42"/>
        <v>14060000</v>
      </c>
      <c r="M71" s="244"/>
      <c r="O71" s="335">
        <v>0</v>
      </c>
    </row>
    <row r="72" spans="1:15" s="263" customFormat="1" ht="15" customHeight="1" x14ac:dyDescent="0.35">
      <c r="A72" s="241"/>
      <c r="B72" s="262"/>
      <c r="C72" s="236"/>
      <c r="D72" s="217"/>
      <c r="E72" s="217"/>
      <c r="F72" s="218"/>
      <c r="G72" s="220"/>
      <c r="H72" s="219"/>
      <c r="I72" s="220"/>
      <c r="J72" s="221"/>
      <c r="K72" s="222"/>
      <c r="L72" s="223"/>
      <c r="M72" s="244"/>
      <c r="O72" s="335">
        <v>0</v>
      </c>
    </row>
    <row r="73" spans="1:15" s="263" customFormat="1" ht="30" customHeight="1" x14ac:dyDescent="0.35">
      <c r="A73" s="255" t="s">
        <v>271</v>
      </c>
      <c r="B73" s="256"/>
      <c r="C73" s="234" t="s">
        <v>272</v>
      </c>
      <c r="D73" s="225">
        <f>SUM(D74:D74)</f>
        <v>218785400</v>
      </c>
      <c r="E73" s="225"/>
      <c r="F73" s="225">
        <f>SUM(F74:F74)</f>
        <v>218785400</v>
      </c>
      <c r="G73" s="226"/>
      <c r="H73" s="225">
        <f>SUM(H74:H74)</f>
        <v>25750000</v>
      </c>
      <c r="I73" s="228"/>
      <c r="J73" s="227"/>
      <c r="K73" s="227"/>
      <c r="L73" s="226">
        <f>F73-H73</f>
        <v>193035400</v>
      </c>
      <c r="M73" s="257"/>
      <c r="O73" s="335">
        <v>0</v>
      </c>
    </row>
    <row r="74" spans="1:15" s="263" customFormat="1" ht="45" customHeight="1" x14ac:dyDescent="0.35">
      <c r="A74" s="258" t="s">
        <v>223</v>
      </c>
      <c r="B74" s="259"/>
      <c r="C74" s="235" t="s">
        <v>219</v>
      </c>
      <c r="D74" s="229">
        <f>SUM(D75:D79)</f>
        <v>218785400</v>
      </c>
      <c r="E74" s="229"/>
      <c r="F74" s="229">
        <f>SUM(F75:F79)</f>
        <v>218785400</v>
      </c>
      <c r="G74" s="230"/>
      <c r="H74" s="229">
        <f>SUM(H75:H79)</f>
        <v>25750000</v>
      </c>
      <c r="I74" s="232"/>
      <c r="J74" s="231"/>
      <c r="K74" s="231"/>
      <c r="L74" s="230">
        <f>F74-H74</f>
        <v>193035400</v>
      </c>
      <c r="M74" s="260"/>
      <c r="O74" s="335">
        <v>0</v>
      </c>
    </row>
    <row r="75" spans="1:15" s="263" customFormat="1" ht="30" customHeight="1" x14ac:dyDescent="0.35">
      <c r="A75" s="241" t="s">
        <v>224</v>
      </c>
      <c r="B75" s="262"/>
      <c r="C75" s="236" t="s">
        <v>312</v>
      </c>
      <c r="D75" s="217">
        <v>6866400</v>
      </c>
      <c r="E75" s="217">
        <v>0</v>
      </c>
      <c r="F75" s="217">
        <f>D75+E75</f>
        <v>6866400</v>
      </c>
      <c r="G75" s="220">
        <f t="shared" ref="G75:G79" si="45">F75/$F$81*100</f>
        <v>6.3090477346523705E-2</v>
      </c>
      <c r="H75" s="219">
        <v>6750000</v>
      </c>
      <c r="I75" s="220">
        <f t="shared" ref="I75:I79" si="46">H75/F75*100</f>
        <v>98.304788535477101</v>
      </c>
      <c r="J75" s="221">
        <f t="shared" ref="J75:J79" si="47">I75</f>
        <v>98.304788535477101</v>
      </c>
      <c r="K75" s="222">
        <f>J75*G75/100</f>
        <v>6.2020960341523212E-2</v>
      </c>
      <c r="L75" s="223">
        <f t="shared" ref="L75:L78" si="48">F75-H75</f>
        <v>116400</v>
      </c>
      <c r="M75" s="244"/>
      <c r="O75" s="335">
        <v>6750000</v>
      </c>
    </row>
    <row r="76" spans="1:15" s="263" customFormat="1" ht="15" customHeight="1" x14ac:dyDescent="0.35">
      <c r="A76" s="241" t="s">
        <v>225</v>
      </c>
      <c r="B76" s="262"/>
      <c r="C76" s="236" t="s">
        <v>220</v>
      </c>
      <c r="D76" s="217">
        <f>17650000+14989000</f>
        <v>32639000</v>
      </c>
      <c r="E76" s="217">
        <v>0</v>
      </c>
      <c r="F76" s="217">
        <f t="shared" ref="F76:F79" si="49">D76+E76</f>
        <v>32639000</v>
      </c>
      <c r="G76" s="220">
        <f t="shared" si="45"/>
        <v>0.29989661104992238</v>
      </c>
      <c r="H76" s="219">
        <v>0</v>
      </c>
      <c r="I76" s="220">
        <f t="shared" si="46"/>
        <v>0</v>
      </c>
      <c r="J76" s="221">
        <f t="shared" si="47"/>
        <v>0</v>
      </c>
      <c r="K76" s="222">
        <f>J76*G76/100</f>
        <v>0</v>
      </c>
      <c r="L76" s="223">
        <f t="shared" si="48"/>
        <v>32639000</v>
      </c>
      <c r="M76" s="244"/>
      <c r="O76" s="335">
        <v>19000000</v>
      </c>
    </row>
    <row r="77" spans="1:15" s="263" customFormat="1" ht="30" customHeight="1" x14ac:dyDescent="0.35">
      <c r="A77" s="241" t="s">
        <v>226</v>
      </c>
      <c r="B77" s="262"/>
      <c r="C77" s="236" t="s">
        <v>221</v>
      </c>
      <c r="D77" s="217">
        <v>157520000</v>
      </c>
      <c r="E77" s="217">
        <v>0</v>
      </c>
      <c r="F77" s="217">
        <f t="shared" si="49"/>
        <v>157520000</v>
      </c>
      <c r="G77" s="220">
        <f t="shared" si="45"/>
        <v>1.4473395071106276</v>
      </c>
      <c r="H77" s="219">
        <v>19000000</v>
      </c>
      <c r="I77" s="220">
        <f t="shared" si="46"/>
        <v>12.061960385982733</v>
      </c>
      <c r="J77" s="221">
        <f t="shared" si="47"/>
        <v>12.061960385982733</v>
      </c>
      <c r="K77" s="222">
        <f>J77*G77/100</f>
        <v>0.17457751799836163</v>
      </c>
      <c r="L77" s="223">
        <f t="shared" si="48"/>
        <v>138520000</v>
      </c>
      <c r="M77" s="244"/>
      <c r="O77" s="335">
        <v>0</v>
      </c>
    </row>
    <row r="78" spans="1:15" s="263" customFormat="1" ht="15" customHeight="1" x14ac:dyDescent="0.35">
      <c r="A78" s="241" t="s">
        <v>314</v>
      </c>
      <c r="B78" s="262"/>
      <c r="C78" s="236" t="s">
        <v>313</v>
      </c>
      <c r="D78" s="217">
        <v>0</v>
      </c>
      <c r="E78" s="217">
        <v>0</v>
      </c>
      <c r="F78" s="217">
        <f t="shared" si="49"/>
        <v>0</v>
      </c>
      <c r="G78" s="220">
        <f t="shared" si="45"/>
        <v>0</v>
      </c>
      <c r="H78" s="219">
        <v>0</v>
      </c>
      <c r="I78" s="220">
        <v>0</v>
      </c>
      <c r="J78" s="221"/>
      <c r="K78" s="222"/>
      <c r="L78" s="223">
        <f t="shared" si="48"/>
        <v>0</v>
      </c>
      <c r="M78" s="244"/>
      <c r="O78" s="335">
        <v>0</v>
      </c>
    </row>
    <row r="79" spans="1:15" s="263" customFormat="1" ht="30" customHeight="1" x14ac:dyDescent="0.35">
      <c r="A79" s="241" t="s">
        <v>227</v>
      </c>
      <c r="B79" s="262"/>
      <c r="C79" s="236" t="s">
        <v>222</v>
      </c>
      <c r="D79" s="217">
        <v>21760000</v>
      </c>
      <c r="E79" s="217">
        <v>0</v>
      </c>
      <c r="F79" s="217">
        <f t="shared" si="49"/>
        <v>21760000</v>
      </c>
      <c r="G79" s="220">
        <f t="shared" si="45"/>
        <v>0.19993719956022893</v>
      </c>
      <c r="H79" s="219">
        <v>0</v>
      </c>
      <c r="I79" s="220">
        <f t="shared" si="46"/>
        <v>0</v>
      </c>
      <c r="J79" s="221">
        <f t="shared" si="47"/>
        <v>0</v>
      </c>
      <c r="K79" s="222">
        <f>J79*G79/100</f>
        <v>0</v>
      </c>
      <c r="L79" s="223">
        <f>F79-H79</f>
        <v>21760000</v>
      </c>
      <c r="M79" s="244"/>
      <c r="O79" s="335">
        <v>972048757</v>
      </c>
    </row>
    <row r="80" spans="1:15" s="263" customFormat="1" ht="15" customHeight="1" x14ac:dyDescent="0.35">
      <c r="A80" s="241"/>
      <c r="B80" s="262"/>
      <c r="C80" s="236"/>
      <c r="D80" s="217"/>
      <c r="E80" s="217"/>
      <c r="F80" s="217"/>
      <c r="G80" s="220"/>
      <c r="H80" s="219"/>
      <c r="I80" s="220"/>
      <c r="J80" s="221"/>
      <c r="K80" s="222"/>
      <c r="L80" s="223"/>
      <c r="M80" s="244"/>
      <c r="O80" s="334"/>
    </row>
    <row r="81" spans="1:15" s="263" customFormat="1" ht="15" customHeight="1" x14ac:dyDescent="0.35">
      <c r="A81" s="441" t="s">
        <v>145</v>
      </c>
      <c r="B81" s="442"/>
      <c r="C81" s="442"/>
      <c r="D81" s="237">
        <f>D10+D38+D46+D59+D67+D73</f>
        <v>10883417417</v>
      </c>
      <c r="E81" s="237">
        <f>E10+E38+E46+E59+E67+E73</f>
        <v>0</v>
      </c>
      <c r="F81" s="237">
        <f>F10+F38+F46+F59+F67+F73</f>
        <v>10883417417</v>
      </c>
      <c r="G81" s="238">
        <f>SUM(G12:G80)</f>
        <v>100</v>
      </c>
      <c r="H81" s="237">
        <f>H10+H38+H46+H59+H67+H73</f>
        <v>972048757</v>
      </c>
      <c r="I81" s="269">
        <f>H81/F81*100</f>
        <v>8.9314662826553981</v>
      </c>
      <c r="J81" s="238">
        <f>I81</f>
        <v>8.9314662826553981</v>
      </c>
      <c r="K81" s="238">
        <f>J81*G81/100</f>
        <v>8.9314662826553981</v>
      </c>
      <c r="L81" s="237">
        <f>L10+L38+L46+L59+L67+L73</f>
        <v>9911368660</v>
      </c>
      <c r="M81" s="270"/>
      <c r="O81" s="334">
        <v>972048757</v>
      </c>
    </row>
    <row r="82" spans="1:15" s="263" customFormat="1" ht="15.5" x14ac:dyDescent="0.35">
      <c r="A82" s="271"/>
      <c r="B82" s="272"/>
      <c r="C82" s="272"/>
      <c r="D82" s="274"/>
      <c r="E82" s="274"/>
      <c r="F82" s="274"/>
      <c r="G82" s="275"/>
      <c r="H82" s="274"/>
      <c r="I82" s="276"/>
      <c r="J82" s="276"/>
      <c r="K82" s="276"/>
      <c r="L82" s="310"/>
      <c r="M82" s="277"/>
      <c r="O82" s="335">
        <v>0</v>
      </c>
    </row>
    <row r="83" spans="1:15" s="263" customFormat="1" ht="15.5" x14ac:dyDescent="0.35">
      <c r="A83" s="271"/>
      <c r="B83" s="272"/>
      <c r="C83" s="272"/>
      <c r="D83" s="274"/>
      <c r="E83" s="274"/>
      <c r="F83" s="274"/>
      <c r="G83" s="275"/>
      <c r="H83" s="324"/>
      <c r="I83" s="443" t="s">
        <v>340</v>
      </c>
      <c r="J83" s="443"/>
      <c r="K83" s="443"/>
      <c r="L83" s="276"/>
      <c r="M83" s="277"/>
      <c r="O83" s="334"/>
    </row>
    <row r="84" spans="1:15" s="263" customFormat="1" ht="15.5" x14ac:dyDescent="0.35">
      <c r="A84" s="271"/>
      <c r="B84" s="272"/>
      <c r="C84" s="272"/>
      <c r="D84" s="274"/>
      <c r="E84" s="274"/>
      <c r="F84" s="279"/>
      <c r="G84" s="280"/>
      <c r="H84" s="324"/>
      <c r="I84" s="443" t="s">
        <v>177</v>
      </c>
      <c r="J84" s="443"/>
      <c r="K84" s="443"/>
      <c r="L84" s="276"/>
      <c r="M84" s="277"/>
      <c r="O84" s="334"/>
    </row>
    <row r="85" spans="1:15" s="263" customFormat="1" ht="15.5" x14ac:dyDescent="0.35">
      <c r="A85" s="271"/>
      <c r="B85" s="272"/>
      <c r="C85" s="272"/>
      <c r="D85" s="274"/>
      <c r="E85" s="274"/>
      <c r="F85" s="279"/>
      <c r="G85" s="280"/>
      <c r="H85" s="325"/>
      <c r="I85" s="443"/>
      <c r="J85" s="443"/>
      <c r="K85" s="443"/>
      <c r="L85" s="276"/>
      <c r="M85" s="277"/>
      <c r="O85" s="334"/>
    </row>
    <row r="86" spans="1:15" s="263" customFormat="1" ht="15.5" x14ac:dyDescent="0.35">
      <c r="A86" s="271"/>
      <c r="B86" s="272"/>
      <c r="C86" s="272"/>
      <c r="D86" s="274"/>
      <c r="E86" s="274"/>
      <c r="F86" s="279"/>
      <c r="G86" s="280"/>
      <c r="H86" s="325"/>
      <c r="I86" s="281"/>
      <c r="J86" s="281"/>
      <c r="K86" s="281"/>
      <c r="L86" s="276"/>
      <c r="M86" s="277"/>
      <c r="O86" s="334"/>
    </row>
    <row r="87" spans="1:15" s="263" customFormat="1" ht="15.5" x14ac:dyDescent="0.35">
      <c r="A87" s="271"/>
      <c r="B87" s="272"/>
      <c r="C87" s="272"/>
      <c r="D87" s="274"/>
      <c r="E87" s="274"/>
      <c r="F87" s="274"/>
      <c r="G87" s="280"/>
      <c r="H87" s="325"/>
      <c r="I87" s="282"/>
      <c r="J87" s="281"/>
      <c r="K87" s="282"/>
      <c r="L87" s="276"/>
      <c r="M87" s="277"/>
      <c r="O87" s="334"/>
    </row>
    <row r="88" spans="1:15" s="263" customFormat="1" ht="18.5" x14ac:dyDescent="0.35">
      <c r="A88" s="271"/>
      <c r="B88" s="272"/>
      <c r="C88" s="278"/>
      <c r="D88" s="274"/>
      <c r="E88" s="274"/>
      <c r="F88" s="274"/>
      <c r="G88" s="280"/>
      <c r="H88" s="324"/>
      <c r="I88" s="444" t="s">
        <v>329</v>
      </c>
      <c r="J88" s="444"/>
      <c r="K88" s="444"/>
      <c r="L88" s="276"/>
      <c r="M88" s="277"/>
      <c r="O88" s="334"/>
    </row>
    <row r="89" spans="1:15" s="263" customFormat="1" ht="15.5" x14ac:dyDescent="0.35">
      <c r="A89" s="283"/>
      <c r="B89" s="284"/>
      <c r="C89" s="284"/>
      <c r="D89" s="285"/>
      <c r="E89" s="285"/>
      <c r="F89" s="285"/>
      <c r="G89" s="286"/>
      <c r="H89" s="326"/>
      <c r="I89" s="440" t="s">
        <v>330</v>
      </c>
      <c r="J89" s="440"/>
      <c r="K89" s="440"/>
      <c r="L89" s="311"/>
      <c r="M89" s="288"/>
      <c r="O89" s="334"/>
    </row>
    <row r="90" spans="1:15" ht="15.5" x14ac:dyDescent="0.35">
      <c r="A90" s="164"/>
      <c r="B90" s="164"/>
      <c r="C90" s="164"/>
      <c r="D90" s="165"/>
      <c r="E90" s="165"/>
      <c r="F90" s="165"/>
      <c r="G90" s="176"/>
      <c r="H90" s="327"/>
      <c r="I90" s="165"/>
      <c r="J90" s="165"/>
      <c r="K90" s="165"/>
      <c r="L90" s="165"/>
      <c r="M90" s="165"/>
      <c r="O90" s="334"/>
    </row>
    <row r="91" spans="1:15" x14ac:dyDescent="0.35">
      <c r="O91" s="334"/>
    </row>
  </sheetData>
  <protectedRanges>
    <protectedRange sqref="H19:H20 H25:H26 H32:H33 H42:H43 H37:H40 H80 H72 H28:H29 H10:H15 H45:H54 H58:H68" name="Range1"/>
    <protectedRange sqref="H24" name="Range1_17"/>
    <protectedRange sqref="H27" name="Range1_18"/>
    <protectedRange sqref="H36" name="Range1_19"/>
    <protectedRange sqref="H41" name="Range1_1_1"/>
    <protectedRange sqref="H69:H71" name="Range1_14_1"/>
    <protectedRange sqref="H75:H79" name="Range1_13_1"/>
    <protectedRange sqref="H55:H57" name="Range1_3_2"/>
    <protectedRange sqref="H21" name="Range1_2"/>
  </protectedRanges>
  <mergeCells count="20">
    <mergeCell ref="A1:M1"/>
    <mergeCell ref="A2:M2"/>
    <mergeCell ref="D5:E5"/>
    <mergeCell ref="A6:A9"/>
    <mergeCell ref="B6:C9"/>
    <mergeCell ref="D6:D8"/>
    <mergeCell ref="E6:E8"/>
    <mergeCell ref="F6:F8"/>
    <mergeCell ref="G6:G9"/>
    <mergeCell ref="H6:K6"/>
    <mergeCell ref="M6:M9"/>
    <mergeCell ref="H7:I8"/>
    <mergeCell ref="J7:K8"/>
    <mergeCell ref="I89:K89"/>
    <mergeCell ref="L6:L8"/>
    <mergeCell ref="A81:C81"/>
    <mergeCell ref="I83:K83"/>
    <mergeCell ref="I84:K84"/>
    <mergeCell ref="I85:K85"/>
    <mergeCell ref="I88:K88"/>
  </mergeCells>
  <pageMargins left="0.43307086614173229" right="0.55118110236220474" top="0.81" bottom="0.31496062992125984" header="0.23622047244094491" footer="0.23622047244094491"/>
  <pageSetup paperSize="5" scale="75" orientation="landscape" horizontalDpi="4294967293" r:id="rId1"/>
  <rowBreaks count="2" manualBreakCount="2">
    <brk id="37" max="12" man="1"/>
    <brk id="6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view="pageBreakPreview" topLeftCell="A4" zoomScale="90" zoomScaleNormal="90" zoomScaleSheetLayoutView="90" workbookViewId="0">
      <selection activeCell="J21" sqref="J21"/>
    </sheetView>
  </sheetViews>
  <sheetFormatPr defaultColWidth="9.1796875" defaultRowHeight="14.5" x14ac:dyDescent="0.35"/>
  <cols>
    <col min="1" max="3" width="5.7265625" style="88" customWidth="1"/>
    <col min="4" max="4" width="1.81640625" style="88" customWidth="1"/>
    <col min="5" max="5" width="40.26953125" style="88" customWidth="1"/>
    <col min="6" max="8" width="15.7265625" style="88" customWidth="1"/>
    <col min="9" max="9" width="8.7265625" style="88" customWidth="1"/>
    <col min="10" max="10" width="15.7265625" style="88" customWidth="1"/>
    <col min="11" max="12" width="8.7265625" style="88" customWidth="1"/>
    <col min="13" max="13" width="14.26953125" style="88" customWidth="1"/>
    <col min="14" max="14" width="17.1796875" style="88" customWidth="1"/>
    <col min="15" max="15" width="10.1796875" style="88" customWidth="1"/>
    <col min="16" max="17" width="12.7265625" style="88" bestFit="1" customWidth="1"/>
    <col min="18" max="18" width="16" style="88" customWidth="1"/>
    <col min="19" max="16384" width="9.1796875" style="88"/>
  </cols>
  <sheetData>
    <row r="1" spans="1:15" ht="27" customHeight="1" x14ac:dyDescent="0.85">
      <c r="A1" s="348" t="s">
        <v>198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 ht="28.5" customHeight="1" x14ac:dyDescent="0.85">
      <c r="A2" s="351" t="s">
        <v>319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3"/>
    </row>
    <row r="3" spans="1:15" x14ac:dyDescent="0.35">
      <c r="A3" s="89"/>
      <c r="B3" s="290"/>
      <c r="C3" s="290"/>
      <c r="D3" s="2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15.5" x14ac:dyDescent="0.35">
      <c r="A4" s="93" t="s">
        <v>295</v>
      </c>
      <c r="B4" s="96"/>
      <c r="C4" s="96"/>
      <c r="D4" s="95" t="s">
        <v>1</v>
      </c>
      <c r="E4" s="94" t="s">
        <v>331</v>
      </c>
      <c r="F4" s="95"/>
      <c r="G4" s="95"/>
      <c r="H4" s="96"/>
      <c r="I4" s="96"/>
      <c r="J4" s="96"/>
      <c r="K4" s="95"/>
      <c r="L4" s="95"/>
      <c r="M4" s="95"/>
      <c r="N4" s="95"/>
      <c r="O4" s="97"/>
    </row>
    <row r="5" spans="1:15" ht="15.5" x14ac:dyDescent="0.35">
      <c r="A5" s="93" t="s">
        <v>3</v>
      </c>
      <c r="B5" s="96"/>
      <c r="C5" s="96"/>
      <c r="D5" s="95" t="s">
        <v>1</v>
      </c>
      <c r="E5" s="94" t="s">
        <v>339</v>
      </c>
      <c r="F5" s="445"/>
      <c r="G5" s="445"/>
      <c r="H5" s="96"/>
      <c r="I5" s="96"/>
      <c r="J5" s="96"/>
      <c r="K5" s="95"/>
      <c r="L5" s="95"/>
      <c r="M5" s="95"/>
      <c r="N5" s="95"/>
      <c r="O5" s="97"/>
    </row>
    <row r="6" spans="1:15" ht="16" customHeight="1" x14ac:dyDescent="0.35">
      <c r="A6" s="446" t="s">
        <v>4</v>
      </c>
      <c r="B6" s="357"/>
      <c r="C6" s="358"/>
      <c r="D6" s="446" t="s">
        <v>5</v>
      </c>
      <c r="E6" s="358"/>
      <c r="F6" s="363" t="s">
        <v>189</v>
      </c>
      <c r="G6" s="366" t="s">
        <v>190</v>
      </c>
      <c r="H6" s="366" t="s">
        <v>191</v>
      </c>
      <c r="I6" s="366" t="s">
        <v>9</v>
      </c>
      <c r="J6" s="369" t="s">
        <v>204</v>
      </c>
      <c r="K6" s="369"/>
      <c r="L6" s="369"/>
      <c r="M6" s="369"/>
      <c r="N6" s="366" t="s">
        <v>192</v>
      </c>
      <c r="O6" s="354" t="s">
        <v>12</v>
      </c>
    </row>
    <row r="7" spans="1:15" ht="16" customHeight="1" x14ac:dyDescent="0.35">
      <c r="A7" s="447"/>
      <c r="B7" s="359"/>
      <c r="C7" s="360"/>
      <c r="D7" s="447"/>
      <c r="E7" s="360"/>
      <c r="F7" s="364"/>
      <c r="G7" s="367"/>
      <c r="H7" s="367"/>
      <c r="I7" s="367"/>
      <c r="J7" s="449" t="s">
        <v>13</v>
      </c>
      <c r="K7" s="450"/>
      <c r="L7" s="357" t="s">
        <v>14</v>
      </c>
      <c r="M7" s="358"/>
      <c r="N7" s="367"/>
      <c r="O7" s="355"/>
    </row>
    <row r="8" spans="1:15" ht="16" customHeight="1" x14ac:dyDescent="0.35">
      <c r="A8" s="447"/>
      <c r="B8" s="359"/>
      <c r="C8" s="360"/>
      <c r="D8" s="447"/>
      <c r="E8" s="360"/>
      <c r="F8" s="364"/>
      <c r="G8" s="367"/>
      <c r="H8" s="367"/>
      <c r="I8" s="367"/>
      <c r="J8" s="451"/>
      <c r="K8" s="452"/>
      <c r="L8" s="361"/>
      <c r="M8" s="362"/>
      <c r="N8" s="367"/>
      <c r="O8" s="355"/>
    </row>
    <row r="9" spans="1:15" ht="16" customHeight="1" x14ac:dyDescent="0.35">
      <c r="A9" s="448"/>
      <c r="B9" s="361"/>
      <c r="C9" s="362"/>
      <c r="D9" s="448"/>
      <c r="E9" s="362"/>
      <c r="F9" s="318" t="s">
        <v>15</v>
      </c>
      <c r="G9" s="100" t="s">
        <v>15</v>
      </c>
      <c r="H9" s="100" t="s">
        <v>15</v>
      </c>
      <c r="I9" s="368"/>
      <c r="J9" s="99" t="s">
        <v>15</v>
      </c>
      <c r="K9" s="99" t="s">
        <v>16</v>
      </c>
      <c r="L9" s="99" t="s">
        <v>16</v>
      </c>
      <c r="M9" s="100" t="s">
        <v>17</v>
      </c>
      <c r="N9" s="100" t="s">
        <v>15</v>
      </c>
      <c r="O9" s="356"/>
    </row>
    <row r="10" spans="1:15" ht="16" customHeight="1" x14ac:dyDescent="0.35">
      <c r="A10" s="291">
        <v>5</v>
      </c>
      <c r="B10" s="292"/>
      <c r="C10" s="292"/>
      <c r="D10" s="293"/>
      <c r="E10" s="294" t="s">
        <v>296</v>
      </c>
      <c r="F10" s="218">
        <f>SUM(F11,F15)</f>
        <v>10883417417</v>
      </c>
      <c r="G10" s="218">
        <f>SUM(G11,G15)</f>
        <v>0</v>
      </c>
      <c r="H10" s="218">
        <f>SUM(H11,H15)</f>
        <v>10883417417</v>
      </c>
      <c r="I10" s="295">
        <f>SUM(I11,I15)</f>
        <v>100.00000000000001</v>
      </c>
      <c r="J10" s="218">
        <f>SUM(J11,J15)</f>
        <v>972048757</v>
      </c>
      <c r="K10" s="297"/>
      <c r="L10" s="296"/>
      <c r="M10" s="296"/>
      <c r="N10" s="295">
        <f>H10-J10</f>
        <v>9911368660</v>
      </c>
      <c r="O10" s="109"/>
    </row>
    <row r="11" spans="1:15" ht="16" customHeight="1" x14ac:dyDescent="0.35">
      <c r="A11" s="298">
        <v>5</v>
      </c>
      <c r="B11" s="299">
        <v>1</v>
      </c>
      <c r="C11" s="299"/>
      <c r="D11" s="293"/>
      <c r="E11" s="294" t="s">
        <v>297</v>
      </c>
      <c r="F11" s="218">
        <f>SUM(F12:F13)</f>
        <v>10875590474</v>
      </c>
      <c r="G11" s="218">
        <f>SUM(G12:G13)</f>
        <v>0</v>
      </c>
      <c r="H11" s="218">
        <f>SUM(H12:H13)</f>
        <v>10875590474</v>
      </c>
      <c r="I11" s="295">
        <f>SUM(I12:I13)</f>
        <v>99.928083774607657</v>
      </c>
      <c r="J11" s="218">
        <f>SUM(J12:J13)</f>
        <v>964278757</v>
      </c>
      <c r="K11" s="297"/>
      <c r="L11" s="296"/>
      <c r="M11" s="296"/>
      <c r="N11" s="295">
        <f>H11-J11</f>
        <v>9911311717</v>
      </c>
      <c r="O11" s="109"/>
    </row>
    <row r="12" spans="1:15" ht="16" customHeight="1" x14ac:dyDescent="0.35">
      <c r="A12" s="298">
        <v>5</v>
      </c>
      <c r="B12" s="299">
        <v>1</v>
      </c>
      <c r="C12" s="300" t="s">
        <v>298</v>
      </c>
      <c r="D12" s="301"/>
      <c r="E12" s="121" t="s">
        <v>299</v>
      </c>
      <c r="F12" s="217">
        <v>4842463650</v>
      </c>
      <c r="G12" s="217">
        <v>0</v>
      </c>
      <c r="H12" s="217">
        <f>F12+G12</f>
        <v>4842463650</v>
      </c>
      <c r="I12" s="220">
        <f>H12/$H$19*100</f>
        <v>44.493962369173005</v>
      </c>
      <c r="J12" s="219">
        <v>474669374</v>
      </c>
      <c r="K12" s="220">
        <f>J12/H12*100</f>
        <v>9.802228954263807</v>
      </c>
      <c r="L12" s="221">
        <f>K12</f>
        <v>9.802228954263807</v>
      </c>
      <c r="M12" s="222">
        <f>L12*I12/100</f>
        <v>4.3614000622503184</v>
      </c>
      <c r="N12" s="223">
        <f>H12-J12</f>
        <v>4367794276</v>
      </c>
      <c r="O12" s="114"/>
    </row>
    <row r="13" spans="1:15" ht="16" customHeight="1" x14ac:dyDescent="0.35">
      <c r="A13" s="298">
        <v>5</v>
      </c>
      <c r="B13" s="299">
        <v>1</v>
      </c>
      <c r="C13" s="300" t="s">
        <v>300</v>
      </c>
      <c r="D13" s="301"/>
      <c r="E13" s="121" t="s">
        <v>301</v>
      </c>
      <c r="F13" s="217">
        <v>6033126824</v>
      </c>
      <c r="G13" s="217">
        <v>0</v>
      </c>
      <c r="H13" s="217">
        <f>F13+G13</f>
        <v>6033126824</v>
      </c>
      <c r="I13" s="220">
        <f>H13/$H$19*100</f>
        <v>55.434121405434652</v>
      </c>
      <c r="J13" s="219">
        <v>489609383</v>
      </c>
      <c r="K13" s="220">
        <f t="shared" ref="K13:K16" si="0">J13/H13*100</f>
        <v>8.1153504191610217</v>
      </c>
      <c r="L13" s="221">
        <f>K13</f>
        <v>8.1153504191610217</v>
      </c>
      <c r="M13" s="222">
        <f>L13*I13/100</f>
        <v>4.4986732038341701</v>
      </c>
      <c r="N13" s="223">
        <f>H13-J13</f>
        <v>5543517441</v>
      </c>
      <c r="O13" s="114"/>
    </row>
    <row r="14" spans="1:15" ht="16" customHeight="1" x14ac:dyDescent="0.35">
      <c r="A14" s="302"/>
      <c r="B14" s="303"/>
      <c r="C14" s="303"/>
      <c r="D14" s="304"/>
      <c r="E14" s="121"/>
      <c r="F14" s="217"/>
      <c r="G14" s="217"/>
      <c r="H14" s="218"/>
      <c r="I14" s="220"/>
      <c r="J14" s="219"/>
      <c r="K14" s="220"/>
      <c r="L14" s="221"/>
      <c r="M14" s="222"/>
      <c r="N14" s="223"/>
      <c r="O14" s="114"/>
    </row>
    <row r="15" spans="1:15" ht="16" customHeight="1" x14ac:dyDescent="0.35">
      <c r="A15" s="298">
        <v>5</v>
      </c>
      <c r="B15" s="299">
        <v>2</v>
      </c>
      <c r="C15" s="293"/>
      <c r="D15" s="293"/>
      <c r="E15" s="294" t="s">
        <v>302</v>
      </c>
      <c r="F15" s="218">
        <f>SUM(F16:F18)</f>
        <v>7826943</v>
      </c>
      <c r="G15" s="218">
        <f>SUM(G16:G18)</f>
        <v>0</v>
      </c>
      <c r="H15" s="218">
        <f>SUM(H16:H18)</f>
        <v>7826943</v>
      </c>
      <c r="I15" s="295">
        <f>SUM(I16:I18)</f>
        <v>7.1916225392350042E-2</v>
      </c>
      <c r="J15" s="218">
        <f>SUM(J16:J18)</f>
        <v>7770000</v>
      </c>
      <c r="K15" s="220">
        <f t="shared" si="0"/>
        <v>99.272474579155613</v>
      </c>
      <c r="L15" s="221">
        <f>K15</f>
        <v>99.272474579155613</v>
      </c>
      <c r="M15" s="296"/>
      <c r="N15" s="295">
        <f>H15-J15</f>
        <v>56943</v>
      </c>
      <c r="O15" s="114"/>
    </row>
    <row r="16" spans="1:15" ht="16" customHeight="1" x14ac:dyDescent="0.35">
      <c r="A16" s="298">
        <v>5</v>
      </c>
      <c r="B16" s="299">
        <v>2</v>
      </c>
      <c r="C16" s="300" t="s">
        <v>300</v>
      </c>
      <c r="D16" s="301"/>
      <c r="E16" s="305" t="s">
        <v>303</v>
      </c>
      <c r="F16" s="217">
        <v>7826943</v>
      </c>
      <c r="G16" s="217">
        <v>0</v>
      </c>
      <c r="H16" s="217">
        <f>F16+G16</f>
        <v>7826943</v>
      </c>
      <c r="I16" s="220">
        <f>H16/$H$19*100</f>
        <v>7.1916225392350042E-2</v>
      </c>
      <c r="J16" s="219">
        <v>7770000</v>
      </c>
      <c r="K16" s="220">
        <f t="shared" si="0"/>
        <v>99.272474579155613</v>
      </c>
      <c r="L16" s="221">
        <f t="shared" ref="L16:L18" si="1">K16</f>
        <v>99.272474579155613</v>
      </c>
      <c r="M16" s="306">
        <f>L16*I16/100</f>
        <v>7.1393016570908949E-2</v>
      </c>
      <c r="N16" s="223">
        <f>H16-J16</f>
        <v>56943</v>
      </c>
      <c r="O16" s="114"/>
    </row>
    <row r="17" spans="1:15" ht="16" customHeight="1" x14ac:dyDescent="0.35">
      <c r="A17" s="298">
        <v>5</v>
      </c>
      <c r="B17" s="299">
        <v>2</v>
      </c>
      <c r="C17" s="300" t="s">
        <v>304</v>
      </c>
      <c r="D17" s="301"/>
      <c r="E17" s="305" t="s">
        <v>305</v>
      </c>
      <c r="F17" s="217">
        <v>0</v>
      </c>
      <c r="G17" s="217">
        <v>0</v>
      </c>
      <c r="H17" s="217">
        <f t="shared" ref="H17:H18" si="2">F17+G17</f>
        <v>0</v>
      </c>
      <c r="I17" s="220">
        <f>F17/$F$19*100</f>
        <v>0</v>
      </c>
      <c r="J17" s="219">
        <v>0</v>
      </c>
      <c r="K17" s="220">
        <v>0</v>
      </c>
      <c r="L17" s="221">
        <f t="shared" si="1"/>
        <v>0</v>
      </c>
      <c r="M17" s="306">
        <f>L17*I17/100</f>
        <v>0</v>
      </c>
      <c r="N17" s="223">
        <f t="shared" ref="N17:N18" si="3">F17-J17</f>
        <v>0</v>
      </c>
      <c r="O17" s="114"/>
    </row>
    <row r="18" spans="1:15" ht="16" customHeight="1" x14ac:dyDescent="0.35">
      <c r="A18" s="298">
        <v>5</v>
      </c>
      <c r="B18" s="299">
        <v>2</v>
      </c>
      <c r="C18" s="300" t="s">
        <v>306</v>
      </c>
      <c r="D18" s="301"/>
      <c r="E18" s="305" t="s">
        <v>307</v>
      </c>
      <c r="F18" s="217">
        <v>0</v>
      </c>
      <c r="G18" s="217">
        <v>0</v>
      </c>
      <c r="H18" s="217">
        <f t="shared" si="2"/>
        <v>0</v>
      </c>
      <c r="I18" s="220">
        <f>F18/$F$19*100</f>
        <v>0</v>
      </c>
      <c r="J18" s="219">
        <v>0</v>
      </c>
      <c r="K18" s="220">
        <v>0</v>
      </c>
      <c r="L18" s="221">
        <f t="shared" si="1"/>
        <v>0</v>
      </c>
      <c r="M18" s="306">
        <f>L18*I18/100</f>
        <v>0</v>
      </c>
      <c r="N18" s="223">
        <f t="shared" si="3"/>
        <v>0</v>
      </c>
      <c r="O18" s="114"/>
    </row>
    <row r="19" spans="1:15" s="245" customFormat="1" ht="20.149999999999999" customHeight="1" x14ac:dyDescent="0.35">
      <c r="A19" s="441" t="s">
        <v>145</v>
      </c>
      <c r="B19" s="442"/>
      <c r="C19" s="442"/>
      <c r="D19" s="442"/>
      <c r="E19" s="442"/>
      <c r="F19" s="237">
        <f>F10</f>
        <v>10883417417</v>
      </c>
      <c r="G19" s="237">
        <f>G10</f>
        <v>0</v>
      </c>
      <c r="H19" s="237">
        <f>H10</f>
        <v>10883417417</v>
      </c>
      <c r="I19" s="238">
        <f>I10</f>
        <v>100.00000000000001</v>
      </c>
      <c r="J19" s="237">
        <f>J11+J15</f>
        <v>972048757</v>
      </c>
      <c r="K19" s="269">
        <f>J19/H19*100</f>
        <v>8.9314662826553981</v>
      </c>
      <c r="L19" s="238">
        <f>K19</f>
        <v>8.9314662826553981</v>
      </c>
      <c r="M19" s="307">
        <f>L19*I19/100</f>
        <v>8.9314662826553999</v>
      </c>
      <c r="N19" s="237">
        <f>N10</f>
        <v>9911368660</v>
      </c>
      <c r="O19" s="270"/>
    </row>
    <row r="20" spans="1:15" ht="15.5" x14ac:dyDescent="0.35">
      <c r="A20" s="151"/>
      <c r="B20" s="224"/>
      <c r="C20" s="224"/>
      <c r="D20" s="224"/>
      <c r="E20" s="106"/>
      <c r="F20" s="152"/>
      <c r="G20" s="153"/>
      <c r="H20" s="153"/>
      <c r="I20" s="173"/>
      <c r="J20" s="153"/>
      <c r="K20" s="154"/>
      <c r="L20" s="154"/>
      <c r="M20" s="154"/>
      <c r="N20" s="154"/>
      <c r="O20" s="155"/>
    </row>
    <row r="21" spans="1:15" ht="15.5" x14ac:dyDescent="0.35">
      <c r="A21" s="151"/>
      <c r="B21" s="224"/>
      <c r="C21" s="224"/>
      <c r="D21" s="224"/>
      <c r="E21" s="106"/>
      <c r="F21" s="152"/>
      <c r="G21" s="153"/>
      <c r="H21" s="153"/>
      <c r="I21" s="173"/>
      <c r="J21" s="156"/>
      <c r="K21" s="339" t="s">
        <v>342</v>
      </c>
      <c r="L21" s="339"/>
      <c r="M21" s="339"/>
      <c r="N21" s="154"/>
      <c r="O21" s="155"/>
    </row>
    <row r="22" spans="1:15" ht="15.5" x14ac:dyDescent="0.35">
      <c r="A22" s="151"/>
      <c r="B22" s="224"/>
      <c r="C22" s="224"/>
      <c r="D22" s="224"/>
      <c r="E22" s="106"/>
      <c r="F22" s="152"/>
      <c r="G22" s="153"/>
      <c r="H22" s="317"/>
      <c r="I22" s="174"/>
      <c r="J22" s="156"/>
      <c r="K22" s="339" t="s">
        <v>177</v>
      </c>
      <c r="L22" s="339"/>
      <c r="M22" s="339"/>
      <c r="N22" s="154"/>
      <c r="O22" s="155"/>
    </row>
    <row r="23" spans="1:15" ht="15.5" x14ac:dyDescent="0.35">
      <c r="A23" s="151"/>
      <c r="B23" s="224"/>
      <c r="C23" s="224"/>
      <c r="D23" s="224"/>
      <c r="E23" s="106"/>
      <c r="F23" s="152"/>
      <c r="G23" s="153"/>
      <c r="H23" s="317"/>
      <c r="I23" s="174"/>
      <c r="J23" s="313"/>
      <c r="K23" s="339"/>
      <c r="L23" s="339"/>
      <c r="M23" s="339"/>
      <c r="N23" s="154"/>
      <c r="O23" s="155"/>
    </row>
    <row r="24" spans="1:15" ht="15.5" x14ac:dyDescent="0.35">
      <c r="A24" s="151"/>
      <c r="B24" s="224"/>
      <c r="C24" s="224"/>
      <c r="D24" s="224"/>
      <c r="E24" s="106"/>
      <c r="F24" s="153"/>
      <c r="G24" s="153"/>
      <c r="H24" s="157"/>
      <c r="I24" s="174"/>
      <c r="J24" s="308"/>
      <c r="K24" s="213"/>
      <c r="L24" s="213"/>
      <c r="M24" s="213"/>
      <c r="N24" s="154"/>
      <c r="O24" s="155"/>
    </row>
    <row r="25" spans="1:15" ht="15.5" x14ac:dyDescent="0.35">
      <c r="A25" s="151"/>
      <c r="B25" s="224"/>
      <c r="C25" s="224"/>
      <c r="D25" s="224"/>
      <c r="E25" s="106"/>
      <c r="F25" s="153"/>
      <c r="G25" s="153"/>
      <c r="H25" s="153"/>
      <c r="I25" s="174"/>
      <c r="J25" s="308"/>
      <c r="K25" s="214"/>
      <c r="L25" s="213"/>
      <c r="M25" s="214"/>
      <c r="N25" s="154"/>
      <c r="O25" s="155"/>
    </row>
    <row r="26" spans="1:15" ht="18.5" x14ac:dyDescent="0.35">
      <c r="A26" s="151"/>
      <c r="B26" s="224"/>
      <c r="C26" s="224"/>
      <c r="D26" s="224"/>
      <c r="E26" s="156"/>
      <c r="F26" s="153"/>
      <c r="G26" s="153"/>
      <c r="H26" s="153"/>
      <c r="I26" s="174"/>
      <c r="J26" s="156"/>
      <c r="K26" s="444" t="s">
        <v>329</v>
      </c>
      <c r="L26" s="444"/>
      <c r="M26" s="444"/>
      <c r="N26" s="154"/>
      <c r="O26" s="155"/>
    </row>
    <row r="27" spans="1:15" ht="15.5" x14ac:dyDescent="0.35">
      <c r="A27" s="158"/>
      <c r="B27" s="309"/>
      <c r="C27" s="309"/>
      <c r="D27" s="309"/>
      <c r="E27" s="159"/>
      <c r="F27" s="160"/>
      <c r="G27" s="160"/>
      <c r="H27" s="160"/>
      <c r="I27" s="175"/>
      <c r="J27" s="161"/>
      <c r="K27" s="440" t="s">
        <v>330</v>
      </c>
      <c r="L27" s="440"/>
      <c r="M27" s="440"/>
      <c r="N27" s="162"/>
      <c r="O27" s="163"/>
    </row>
    <row r="28" spans="1:15" ht="15.5" x14ac:dyDescent="0.35">
      <c r="A28" s="164"/>
      <c r="B28" s="164"/>
      <c r="C28" s="164"/>
      <c r="D28" s="164"/>
      <c r="E28" s="164"/>
      <c r="F28" s="165"/>
      <c r="G28" s="165"/>
      <c r="H28" s="165"/>
      <c r="I28" s="176"/>
      <c r="J28" s="165"/>
      <c r="K28" s="165"/>
      <c r="L28" s="165"/>
      <c r="M28" s="165"/>
      <c r="N28" s="165"/>
      <c r="O28" s="165"/>
    </row>
  </sheetData>
  <protectedRanges>
    <protectedRange sqref="J17:J18 J13:J14" name="Range1"/>
    <protectedRange sqref="H23" name="Range1_1_1"/>
    <protectedRange sqref="H22" name="Range1_3_1_1"/>
    <protectedRange sqref="J16" name="Range1_18"/>
    <protectedRange sqref="J12" name="Range1_3_1"/>
  </protectedRanges>
  <mergeCells count="20">
    <mergeCell ref="A1:O1"/>
    <mergeCell ref="A2:O2"/>
    <mergeCell ref="F5:G5"/>
    <mergeCell ref="A6:C9"/>
    <mergeCell ref="D6:E9"/>
    <mergeCell ref="F6:F8"/>
    <mergeCell ref="G6:G8"/>
    <mergeCell ref="H6:H8"/>
    <mergeCell ref="I6:I9"/>
    <mergeCell ref="J6:M6"/>
    <mergeCell ref="O6:O9"/>
    <mergeCell ref="J7:K8"/>
    <mergeCell ref="L7:M8"/>
    <mergeCell ref="K27:M27"/>
    <mergeCell ref="N6:N8"/>
    <mergeCell ref="A19:E19"/>
    <mergeCell ref="K21:M21"/>
    <mergeCell ref="K22:M22"/>
    <mergeCell ref="K23:M23"/>
    <mergeCell ref="K26:M26"/>
  </mergeCells>
  <pageMargins left="0.59055118110236227" right="0.70866141732283472" top="0.91" bottom="0.74803149606299213" header="0.31496062992125984" footer="0.31496062992125984"/>
  <pageSetup paperSize="5" scale="8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0"/>
  <sheetViews>
    <sheetView zoomScale="70" zoomScaleNormal="70" workbookViewId="0">
      <selection activeCell="D16" sqref="D16:D80"/>
    </sheetView>
  </sheetViews>
  <sheetFormatPr defaultRowHeight="14.5" x14ac:dyDescent="0.35"/>
  <cols>
    <col min="1" max="1" width="54.54296875" style="88" customWidth="1"/>
    <col min="2" max="2" width="17.7265625" style="88" customWidth="1"/>
    <col min="3" max="3" width="15.81640625" style="321" customWidth="1"/>
    <col min="4" max="4" width="13" bestFit="1" customWidth="1"/>
  </cols>
  <sheetData>
    <row r="1" spans="1:4" x14ac:dyDescent="0.35">
      <c r="A1"/>
      <c r="B1"/>
    </row>
    <row r="2" spans="1:4" x14ac:dyDescent="0.35">
      <c r="A2"/>
      <c r="B2"/>
    </row>
    <row r="3" spans="1:4" x14ac:dyDescent="0.35">
      <c r="A3" s="248"/>
      <c r="B3" s="248"/>
    </row>
    <row r="4" spans="1:4" ht="15.5" x14ac:dyDescent="0.35">
      <c r="A4" s="252" t="s">
        <v>318</v>
      </c>
      <c r="B4" s="253"/>
    </row>
    <row r="5" spans="1:4" ht="15.5" x14ac:dyDescent="0.35">
      <c r="A5" s="252" t="s">
        <v>332</v>
      </c>
      <c r="B5" s="253"/>
    </row>
    <row r="6" spans="1:4" ht="15" customHeight="1" x14ac:dyDescent="0.35">
      <c r="A6"/>
      <c r="B6"/>
    </row>
    <row r="7" spans="1:4" ht="15" customHeight="1" x14ac:dyDescent="0.35">
      <c r="A7"/>
      <c r="B7"/>
    </row>
    <row r="8" spans="1:4" ht="15" customHeight="1" x14ac:dyDescent="0.35">
      <c r="A8"/>
      <c r="B8"/>
    </row>
    <row r="9" spans="1:4" ht="15" customHeight="1" x14ac:dyDescent="0.35">
      <c r="A9"/>
      <c r="B9" s="99" t="s">
        <v>15</v>
      </c>
    </row>
    <row r="10" spans="1:4" ht="31" x14ac:dyDescent="0.35">
      <c r="A10" s="234" t="s">
        <v>262</v>
      </c>
      <c r="B10" s="296">
        <f>B11+B15+B20+B26+B29+B33</f>
        <v>0</v>
      </c>
    </row>
    <row r="11" spans="1:4" ht="31" x14ac:dyDescent="0.35">
      <c r="A11" s="235" t="s">
        <v>196</v>
      </c>
      <c r="B11" s="296">
        <f>SUM(B12:B13)</f>
        <v>0</v>
      </c>
    </row>
    <row r="12" spans="1:4" ht="15.5" x14ac:dyDescent="0.35">
      <c r="A12" s="236" t="s">
        <v>197</v>
      </c>
      <c r="B12" s="219">
        <v>0</v>
      </c>
    </row>
    <row r="13" spans="1:4" ht="15.5" x14ac:dyDescent="0.35">
      <c r="A13" s="236" t="s">
        <v>287</v>
      </c>
      <c r="B13" s="219">
        <v>0</v>
      </c>
    </row>
    <row r="14" spans="1:4" ht="15.5" x14ac:dyDescent="0.35">
      <c r="A14" s="236"/>
      <c r="B14" s="219"/>
    </row>
    <row r="15" spans="1:4" ht="15.5" x14ac:dyDescent="0.35">
      <c r="A15" s="235" t="s">
        <v>199</v>
      </c>
      <c r="B15" s="296"/>
    </row>
    <row r="16" spans="1:4" ht="15.5" x14ac:dyDescent="0.35">
      <c r="A16" s="243" t="s">
        <v>239</v>
      </c>
      <c r="B16" s="219">
        <f>147855146+141600247</f>
        <v>289455393</v>
      </c>
      <c r="D16" s="319">
        <f>B16+C16</f>
        <v>289455393</v>
      </c>
    </row>
    <row r="17" spans="1:4" ht="15.5" x14ac:dyDescent="0.35">
      <c r="A17" s="243" t="s">
        <v>200</v>
      </c>
      <c r="B17" s="219">
        <f>1078920+11800000</f>
        <v>12878920</v>
      </c>
      <c r="C17" s="316">
        <v>4700000</v>
      </c>
      <c r="D17" s="319">
        <f t="shared" ref="D17:D80" si="0">B17+C17</f>
        <v>17578920</v>
      </c>
    </row>
    <row r="18" spans="1:4" ht="31" x14ac:dyDescent="0.35">
      <c r="A18" s="243" t="s">
        <v>289</v>
      </c>
      <c r="B18" s="219">
        <v>0</v>
      </c>
      <c r="D18" s="319">
        <f t="shared" si="0"/>
        <v>0</v>
      </c>
    </row>
    <row r="19" spans="1:4" ht="15.5" x14ac:dyDescent="0.35">
      <c r="A19" s="243"/>
      <c r="B19" s="219"/>
      <c r="D19" s="319">
        <f t="shared" si="0"/>
        <v>0</v>
      </c>
    </row>
    <row r="20" spans="1:4" ht="15.5" x14ac:dyDescent="0.35">
      <c r="A20" s="265" t="s">
        <v>193</v>
      </c>
      <c r="B20" s="296"/>
      <c r="D20" s="319">
        <f t="shared" si="0"/>
        <v>0</v>
      </c>
    </row>
    <row r="21" spans="1:4" ht="31" x14ac:dyDescent="0.35">
      <c r="A21" s="243" t="s">
        <v>42</v>
      </c>
      <c r="B21" s="219">
        <v>490400</v>
      </c>
      <c r="C21" s="219">
        <v>3402705</v>
      </c>
      <c r="D21" s="319">
        <f t="shared" si="0"/>
        <v>3893105</v>
      </c>
    </row>
    <row r="22" spans="1:4" ht="15.5" x14ac:dyDescent="0.35">
      <c r="A22" s="236" t="s">
        <v>194</v>
      </c>
      <c r="B22" s="219">
        <v>7932900</v>
      </c>
      <c r="C22" s="219">
        <v>20904741</v>
      </c>
      <c r="D22" s="319">
        <f t="shared" si="0"/>
        <v>28837641</v>
      </c>
    </row>
    <row r="23" spans="1:4" ht="15.5" x14ac:dyDescent="0.35">
      <c r="A23" s="243" t="s">
        <v>40</v>
      </c>
      <c r="B23" s="219">
        <v>2749000</v>
      </c>
      <c r="C23" s="219">
        <v>3999200</v>
      </c>
      <c r="D23" s="319">
        <f t="shared" si="0"/>
        <v>6748200</v>
      </c>
    </row>
    <row r="24" spans="1:4" ht="15.5" x14ac:dyDescent="0.35">
      <c r="A24" s="243" t="s">
        <v>195</v>
      </c>
      <c r="B24" s="219">
        <f>4635000+9419900</f>
        <v>14054900</v>
      </c>
      <c r="C24" s="219">
        <v>3140000</v>
      </c>
      <c r="D24" s="319">
        <f t="shared" si="0"/>
        <v>17194900</v>
      </c>
    </row>
    <row r="25" spans="1:4" ht="15.5" x14ac:dyDescent="0.35">
      <c r="A25" s="236"/>
      <c r="B25" s="219"/>
      <c r="C25" s="219"/>
      <c r="D25" s="319">
        <f t="shared" si="0"/>
        <v>0</v>
      </c>
    </row>
    <row r="26" spans="1:4" ht="31" x14ac:dyDescent="0.35">
      <c r="A26" s="235" t="s">
        <v>282</v>
      </c>
      <c r="B26" s="296">
        <f>B27</f>
        <v>0</v>
      </c>
      <c r="C26" s="296"/>
      <c r="D26" s="319">
        <f t="shared" si="0"/>
        <v>0</v>
      </c>
    </row>
    <row r="27" spans="1:4" ht="15.5" x14ac:dyDescent="0.35">
      <c r="A27" s="243" t="s">
        <v>284</v>
      </c>
      <c r="B27" s="219">
        <v>0</v>
      </c>
      <c r="C27" s="320">
        <v>7770000</v>
      </c>
      <c r="D27" s="319">
        <f t="shared" si="0"/>
        <v>7770000</v>
      </c>
    </row>
    <row r="28" spans="1:4" ht="15.5" x14ac:dyDescent="0.35">
      <c r="A28" s="243"/>
      <c r="B28" s="219"/>
      <c r="C28" s="219"/>
      <c r="D28" s="319">
        <f t="shared" si="0"/>
        <v>0</v>
      </c>
    </row>
    <row r="29" spans="1:4" ht="31" x14ac:dyDescent="0.35">
      <c r="A29" s="235" t="s">
        <v>201</v>
      </c>
      <c r="B29" s="296"/>
      <c r="C29" s="296"/>
      <c r="D29" s="319">
        <f t="shared" si="0"/>
        <v>0</v>
      </c>
    </row>
    <row r="30" spans="1:4" ht="15.5" x14ac:dyDescent="0.35">
      <c r="A30" s="243" t="s">
        <v>291</v>
      </c>
      <c r="B30" s="219">
        <v>592800</v>
      </c>
      <c r="C30" s="219"/>
      <c r="D30" s="319">
        <f t="shared" si="0"/>
        <v>592800</v>
      </c>
    </row>
    <row r="31" spans="1:4" ht="15.5" x14ac:dyDescent="0.35">
      <c r="A31" s="243" t="s">
        <v>202</v>
      </c>
      <c r="B31" s="219">
        <v>8254924</v>
      </c>
      <c r="C31" s="314">
        <v>10920220</v>
      </c>
      <c r="D31" s="319">
        <f t="shared" si="0"/>
        <v>19175144</v>
      </c>
    </row>
    <row r="32" spans="1:4" ht="15.5" x14ac:dyDescent="0.35">
      <c r="A32" s="243"/>
      <c r="B32" s="219"/>
      <c r="D32" s="319">
        <f t="shared" si="0"/>
        <v>0</v>
      </c>
    </row>
    <row r="33" spans="1:4" ht="31" x14ac:dyDescent="0.35">
      <c r="A33" s="235" t="s">
        <v>203</v>
      </c>
      <c r="B33" s="296"/>
      <c r="D33" s="319">
        <f t="shared" si="0"/>
        <v>0</v>
      </c>
    </row>
    <row r="34" spans="1:4" ht="15.5" x14ac:dyDescent="0.35">
      <c r="A34" s="243" t="s">
        <v>311</v>
      </c>
      <c r="B34" s="219"/>
      <c r="C34" s="321">
        <v>3050000</v>
      </c>
      <c r="D34" s="319">
        <f t="shared" si="0"/>
        <v>3050000</v>
      </c>
    </row>
    <row r="35" spans="1:4" ht="15.5" x14ac:dyDescent="0.35">
      <c r="A35" s="243" t="s">
        <v>308</v>
      </c>
      <c r="B35" s="219">
        <v>9200000</v>
      </c>
      <c r="D35" s="319">
        <f t="shared" si="0"/>
        <v>9200000</v>
      </c>
    </row>
    <row r="36" spans="1:4" ht="31" x14ac:dyDescent="0.35">
      <c r="A36" s="243" t="s">
        <v>285</v>
      </c>
      <c r="B36" s="219">
        <v>0</v>
      </c>
      <c r="D36" s="319">
        <f t="shared" si="0"/>
        <v>0</v>
      </c>
    </row>
    <row r="37" spans="1:4" ht="15.5" x14ac:dyDescent="0.35">
      <c r="A37" s="243"/>
      <c r="D37" s="319">
        <f t="shared" si="0"/>
        <v>0</v>
      </c>
    </row>
    <row r="38" spans="1:4" ht="31" x14ac:dyDescent="0.35">
      <c r="A38" s="234" t="s">
        <v>264</v>
      </c>
      <c r="B38" s="296"/>
      <c r="D38" s="319">
        <f t="shared" si="0"/>
        <v>0</v>
      </c>
    </row>
    <row r="39" spans="1:4" ht="46.5" x14ac:dyDescent="0.35">
      <c r="A39" s="235" t="s">
        <v>205</v>
      </c>
      <c r="B39" s="296"/>
      <c r="D39" s="319">
        <f t="shared" si="0"/>
        <v>0</v>
      </c>
    </row>
    <row r="40" spans="1:4" ht="31" x14ac:dyDescent="0.35">
      <c r="A40" s="236" t="s">
        <v>206</v>
      </c>
      <c r="B40" s="219">
        <v>14000000</v>
      </c>
      <c r="D40" s="319">
        <f t="shared" si="0"/>
        <v>14000000</v>
      </c>
    </row>
    <row r="41" spans="1:4" ht="31" x14ac:dyDescent="0.35">
      <c r="A41" s="236" t="s">
        <v>310</v>
      </c>
      <c r="B41" s="219"/>
      <c r="C41" s="321">
        <v>6900000</v>
      </c>
      <c r="D41" s="319">
        <f t="shared" si="0"/>
        <v>6900000</v>
      </c>
    </row>
    <row r="42" spans="1:4" ht="15.5" x14ac:dyDescent="0.35">
      <c r="A42" s="236"/>
      <c r="D42" s="319">
        <f t="shared" si="0"/>
        <v>0</v>
      </c>
    </row>
    <row r="43" spans="1:4" ht="31" x14ac:dyDescent="0.35">
      <c r="A43" s="235" t="s">
        <v>207</v>
      </c>
      <c r="B43" s="296"/>
      <c r="D43" s="319">
        <f t="shared" si="0"/>
        <v>0</v>
      </c>
    </row>
    <row r="44" spans="1:4" ht="31" x14ac:dyDescent="0.35">
      <c r="A44" s="236" t="s">
        <v>208</v>
      </c>
      <c r="B44" s="219">
        <v>4700000</v>
      </c>
      <c r="D44" s="319">
        <f t="shared" si="0"/>
        <v>4700000</v>
      </c>
    </row>
    <row r="45" spans="1:4" ht="15.5" x14ac:dyDescent="0.35">
      <c r="A45" s="236"/>
      <c r="B45" s="219"/>
      <c r="D45" s="319">
        <f t="shared" si="0"/>
        <v>0</v>
      </c>
    </row>
    <row r="46" spans="1:4" ht="31" x14ac:dyDescent="0.35">
      <c r="A46" s="234" t="s">
        <v>266</v>
      </c>
      <c r="B46" s="296"/>
      <c r="D46" s="319">
        <f t="shared" si="0"/>
        <v>0</v>
      </c>
    </row>
    <row r="47" spans="1:4" ht="15.5" x14ac:dyDescent="0.35">
      <c r="A47" s="235" t="s">
        <v>209</v>
      </c>
      <c r="B47" s="296"/>
      <c r="D47" s="319">
        <f t="shared" si="0"/>
        <v>0</v>
      </c>
    </row>
    <row r="48" spans="1:4" ht="31" x14ac:dyDescent="0.35">
      <c r="A48" s="236" t="s">
        <v>210</v>
      </c>
      <c r="B48" s="219">
        <v>0</v>
      </c>
      <c r="C48" s="321">
        <v>11110000</v>
      </c>
      <c r="D48" s="319">
        <f t="shared" si="0"/>
        <v>11110000</v>
      </c>
    </row>
    <row r="49" spans="1:4" ht="31" x14ac:dyDescent="0.35">
      <c r="A49" s="236" t="s">
        <v>211</v>
      </c>
      <c r="B49" s="219">
        <v>3965000</v>
      </c>
      <c r="D49" s="319">
        <f t="shared" si="0"/>
        <v>3965000</v>
      </c>
    </row>
    <row r="50" spans="1:4" ht="15.5" x14ac:dyDescent="0.35">
      <c r="A50" s="236"/>
      <c r="B50" s="219"/>
      <c r="D50" s="319">
        <f t="shared" si="0"/>
        <v>0</v>
      </c>
    </row>
    <row r="51" spans="1:4" ht="15.5" x14ac:dyDescent="0.35">
      <c r="A51" s="235" t="s">
        <v>276</v>
      </c>
      <c r="B51" s="218"/>
      <c r="D51" s="319">
        <f t="shared" si="0"/>
        <v>0</v>
      </c>
    </row>
    <row r="52" spans="1:4" ht="15.5" x14ac:dyDescent="0.35">
      <c r="A52" s="236" t="s">
        <v>280</v>
      </c>
      <c r="B52" s="296"/>
      <c r="C52" s="321">
        <v>19500000</v>
      </c>
      <c r="D52" s="319">
        <f t="shared" si="0"/>
        <v>19500000</v>
      </c>
    </row>
    <row r="53" spans="1:4" ht="15.5" x14ac:dyDescent="0.35">
      <c r="A53" s="236" t="s">
        <v>294</v>
      </c>
      <c r="B53" s="219">
        <v>0</v>
      </c>
      <c r="D53" s="319">
        <f t="shared" si="0"/>
        <v>0</v>
      </c>
    </row>
    <row r="54" spans="1:4" ht="15.5" x14ac:dyDescent="0.35">
      <c r="A54" s="236"/>
      <c r="B54" s="219">
        <v>0</v>
      </c>
      <c r="D54" s="319">
        <f t="shared" si="0"/>
        <v>0</v>
      </c>
    </row>
    <row r="55" spans="1:4" ht="31" x14ac:dyDescent="0.35">
      <c r="A55" s="235" t="s">
        <v>323</v>
      </c>
      <c r="B55" s="219"/>
      <c r="D55" s="319">
        <f t="shared" si="0"/>
        <v>0</v>
      </c>
    </row>
    <row r="56" spans="1:4" ht="31" x14ac:dyDescent="0.35">
      <c r="A56" s="236" t="s">
        <v>326</v>
      </c>
      <c r="B56" s="296"/>
      <c r="D56" s="319">
        <f t="shared" si="0"/>
        <v>0</v>
      </c>
    </row>
    <row r="57" spans="1:4" ht="46.5" x14ac:dyDescent="0.35">
      <c r="A57" s="236" t="s">
        <v>327</v>
      </c>
      <c r="B57" s="219"/>
      <c r="D57" s="319">
        <f t="shared" si="0"/>
        <v>0</v>
      </c>
    </row>
    <row r="58" spans="1:4" ht="15.5" x14ac:dyDescent="0.35">
      <c r="A58" s="236"/>
      <c r="B58" s="219"/>
      <c r="D58" s="319">
        <f t="shared" si="0"/>
        <v>0</v>
      </c>
    </row>
    <row r="59" spans="1:4" ht="31" x14ac:dyDescent="0.35">
      <c r="A59" s="234" t="s">
        <v>268</v>
      </c>
      <c r="B59" s="296">
        <f>B60</f>
        <v>0</v>
      </c>
      <c r="D59" s="319">
        <f t="shared" si="0"/>
        <v>0</v>
      </c>
    </row>
    <row r="60" spans="1:4" ht="31" x14ac:dyDescent="0.35">
      <c r="A60" s="235" t="s">
        <v>212</v>
      </c>
      <c r="B60" s="296">
        <f>SUM(B61:B63)</f>
        <v>0</v>
      </c>
      <c r="D60" s="319">
        <f t="shared" si="0"/>
        <v>0</v>
      </c>
    </row>
    <row r="61" spans="1:4" ht="31" x14ac:dyDescent="0.35">
      <c r="A61" s="236" t="s">
        <v>286</v>
      </c>
      <c r="B61" s="219">
        <v>0</v>
      </c>
      <c r="D61" s="319">
        <f t="shared" si="0"/>
        <v>0</v>
      </c>
    </row>
    <row r="62" spans="1:4" ht="31" x14ac:dyDescent="0.35">
      <c r="A62" s="236" t="s">
        <v>213</v>
      </c>
      <c r="B62" s="219">
        <v>0</v>
      </c>
      <c r="D62" s="319">
        <f t="shared" si="0"/>
        <v>0</v>
      </c>
    </row>
    <row r="63" spans="1:4" ht="15.5" x14ac:dyDescent="0.35">
      <c r="A63" s="236"/>
      <c r="B63" s="219">
        <v>0</v>
      </c>
      <c r="D63" s="319">
        <f t="shared" si="0"/>
        <v>0</v>
      </c>
    </row>
    <row r="64" spans="1:4" ht="31" x14ac:dyDescent="0.35">
      <c r="A64" s="235" t="s">
        <v>214</v>
      </c>
      <c r="B64" s="219"/>
      <c r="D64" s="319">
        <f t="shared" si="0"/>
        <v>0</v>
      </c>
    </row>
    <row r="65" spans="1:4" ht="46.5" x14ac:dyDescent="0.35">
      <c r="A65" s="236" t="s">
        <v>215</v>
      </c>
      <c r="B65" s="88">
        <v>18600000</v>
      </c>
      <c r="D65" s="319">
        <f t="shared" si="0"/>
        <v>18600000</v>
      </c>
    </row>
    <row r="66" spans="1:4" ht="15.5" x14ac:dyDescent="0.35">
      <c r="A66" s="236"/>
      <c r="D66" s="319">
        <f t="shared" si="0"/>
        <v>0</v>
      </c>
    </row>
    <row r="67" spans="1:4" ht="31" x14ac:dyDescent="0.35">
      <c r="A67" s="234" t="s">
        <v>270</v>
      </c>
      <c r="D67" s="319">
        <f t="shared" si="0"/>
        <v>0</v>
      </c>
    </row>
    <row r="68" spans="1:4" ht="31" x14ac:dyDescent="0.35">
      <c r="A68" s="235" t="s">
        <v>253</v>
      </c>
      <c r="D68" s="319">
        <f t="shared" si="0"/>
        <v>0</v>
      </c>
    </row>
    <row r="69" spans="1:4" ht="77.5" x14ac:dyDescent="0.35">
      <c r="A69" s="236" t="s">
        <v>216</v>
      </c>
      <c r="D69" s="319">
        <f t="shared" si="0"/>
        <v>0</v>
      </c>
    </row>
    <row r="70" spans="1:4" ht="63" customHeight="1" x14ac:dyDescent="0.35">
      <c r="A70" s="236" t="s">
        <v>217</v>
      </c>
      <c r="D70" s="319">
        <f t="shared" si="0"/>
        <v>0</v>
      </c>
    </row>
    <row r="71" spans="1:4" ht="46.5" x14ac:dyDescent="0.35">
      <c r="A71" s="236" t="s">
        <v>218</v>
      </c>
      <c r="D71" s="319">
        <f t="shared" si="0"/>
        <v>0</v>
      </c>
    </row>
    <row r="72" spans="1:4" ht="15.5" x14ac:dyDescent="0.35">
      <c r="A72" s="236"/>
      <c r="D72" s="319">
        <f t="shared" si="0"/>
        <v>0</v>
      </c>
    </row>
    <row r="73" spans="1:4" ht="31" x14ac:dyDescent="0.35">
      <c r="A73" s="234" t="s">
        <v>272</v>
      </c>
      <c r="B73" s="296"/>
      <c r="D73" s="319">
        <f t="shared" si="0"/>
        <v>0</v>
      </c>
    </row>
    <row r="74" spans="1:4" ht="31" x14ac:dyDescent="0.35">
      <c r="A74" s="235" t="s">
        <v>219</v>
      </c>
      <c r="B74" s="296"/>
      <c r="D74" s="319">
        <f t="shared" si="0"/>
        <v>0</v>
      </c>
    </row>
    <row r="75" spans="1:4" ht="31" x14ac:dyDescent="0.35">
      <c r="A75" s="236" t="s">
        <v>312</v>
      </c>
      <c r="B75" s="219">
        <v>0</v>
      </c>
      <c r="D75" s="319">
        <f t="shared" si="0"/>
        <v>0</v>
      </c>
    </row>
    <row r="76" spans="1:4" ht="15.5" x14ac:dyDescent="0.35">
      <c r="A76" s="236" t="s">
        <v>220</v>
      </c>
      <c r="B76" s="219">
        <v>0</v>
      </c>
      <c r="D76" s="319">
        <f t="shared" si="0"/>
        <v>0</v>
      </c>
    </row>
    <row r="77" spans="1:4" ht="31" x14ac:dyDescent="0.35">
      <c r="A77" s="236" t="s">
        <v>221</v>
      </c>
      <c r="B77" s="219">
        <v>9500000</v>
      </c>
      <c r="D77" s="319">
        <f t="shared" si="0"/>
        <v>9500000</v>
      </c>
    </row>
    <row r="78" spans="1:4" ht="15.5" x14ac:dyDescent="0.35">
      <c r="A78" s="236" t="s">
        <v>313</v>
      </c>
      <c r="B78" s="219">
        <v>0</v>
      </c>
      <c r="D78" s="319">
        <f t="shared" si="0"/>
        <v>0</v>
      </c>
    </row>
    <row r="79" spans="1:4" ht="31" x14ac:dyDescent="0.35">
      <c r="A79" s="236" t="s">
        <v>222</v>
      </c>
      <c r="B79" s="219">
        <v>0</v>
      </c>
      <c r="D79" s="319">
        <f t="shared" si="0"/>
        <v>0</v>
      </c>
    </row>
    <row r="80" spans="1:4" ht="15.5" x14ac:dyDescent="0.35">
      <c r="A80" s="236"/>
      <c r="B80" s="237">
        <f>SUM(B10:B79)</f>
        <v>396374237</v>
      </c>
      <c r="C80" s="237">
        <f>SUM(C10:C79)</f>
        <v>95396866</v>
      </c>
      <c r="D80" s="319">
        <f t="shared" si="0"/>
        <v>491771103</v>
      </c>
    </row>
    <row r="81" spans="1:1" x14ac:dyDescent="0.35">
      <c r="A81"/>
    </row>
    <row r="82" spans="1:1" ht="15.5" x14ac:dyDescent="0.35">
      <c r="A82" s="272"/>
    </row>
    <row r="83" spans="1:1" ht="15.5" x14ac:dyDescent="0.35">
      <c r="A83" s="272"/>
    </row>
    <row r="84" spans="1:1" ht="15.5" x14ac:dyDescent="0.35">
      <c r="A84" s="272"/>
    </row>
    <row r="85" spans="1:1" ht="15.5" x14ac:dyDescent="0.35">
      <c r="A85" s="272"/>
    </row>
    <row r="86" spans="1:1" ht="15.5" x14ac:dyDescent="0.35">
      <c r="A86" s="272"/>
    </row>
    <row r="87" spans="1:1" ht="15.5" x14ac:dyDescent="0.35">
      <c r="A87" s="272"/>
    </row>
    <row r="88" spans="1:1" x14ac:dyDescent="0.35">
      <c r="A88" s="278"/>
    </row>
    <row r="89" spans="1:1" ht="15.5" x14ac:dyDescent="0.35">
      <c r="A89" s="284"/>
    </row>
    <row r="90" spans="1:1" ht="15.5" x14ac:dyDescent="0.35">
      <c r="A90" s="164"/>
    </row>
  </sheetData>
  <protectedRanges>
    <protectedRange sqref="C21" name="Range1_2"/>
    <protectedRange sqref="B10:B15 C25:C26 B32:B36 C28:C29 B18:B20 B38:B41 B43:B50 B73:B79 B52:B64 B22:B29" name="Range1"/>
    <protectedRange sqref="B21" name="Range1_2_1"/>
    <protectedRange sqref="B16" name="Range1_3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Februari</vt:lpstr>
      <vt:lpstr>Maret</vt:lpstr>
      <vt:lpstr>April</vt:lpstr>
      <vt:lpstr>Sheet2</vt:lpstr>
      <vt:lpstr>Rincian Kec.</vt:lpstr>
      <vt:lpstr>Rincian Kel.</vt:lpstr>
      <vt:lpstr>Gabungan</vt:lpstr>
      <vt:lpstr>Rekap</vt:lpstr>
      <vt:lpstr>Sheet1</vt:lpstr>
      <vt:lpstr>April!Print_Area</vt:lpstr>
      <vt:lpstr>Februari!Print_Area</vt:lpstr>
      <vt:lpstr>Gabungan!Print_Area</vt:lpstr>
      <vt:lpstr>Maret!Print_Area</vt:lpstr>
      <vt:lpstr>'Rincian Kec.'!Print_Area</vt:lpstr>
      <vt:lpstr>'Rincian Kel.'!Print_Area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2023-05-08T05:35:41Z</dcterms:modified>
</cp:coreProperties>
</file>